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3885" tabRatio="707" activeTab="2"/>
  </bookViews>
  <sheets>
    <sheet name="Proposta" sheetId="1" r:id="rId1"/>
    <sheet name="Capa" sheetId="2" r:id="rId2"/>
    <sheet name="M.O. Comum" sheetId="3" r:id="rId3"/>
    <sheet name="Quadros Resumo" sheetId="4" r:id="rId4"/>
    <sheet name="Insumos" sheetId="5" r:id="rId5"/>
  </sheets>
  <definedNames>
    <definedName name="_xlnm.Print_Area" localSheetId="2">'M.O. Comum'!$A$1:$D$129</definedName>
    <definedName name="legislacaoDetalhe.asp?ctdCod_411" localSheetId="2">'M.O. Comum'!$A$1:$G$144</definedName>
    <definedName name="legislacaoDetalhe.asp?ctdCod_411_1" localSheetId="2">'M.O. Comum'!$A$1:$G$144</definedName>
  </definedNames>
  <calcPr fullCalcOnLoad="1"/>
</workbook>
</file>

<file path=xl/comments4.xml><?xml version="1.0" encoding="utf-8"?>
<comments xmlns="http://schemas.openxmlformats.org/spreadsheetml/2006/main">
  <authors>
    <author>Felipe Mazza Mascarenhas</author>
  </authors>
  <commentList>
    <comment ref="B14" authorId="0">
      <text>
        <r>
          <rPr>
            <sz val="9"/>
            <rFont val="Tahoma"/>
            <family val="2"/>
          </rPr>
          <t>Informar o valor da unidade de medida por tipo de serviço.</t>
        </r>
      </text>
    </comment>
  </commentList>
</comments>
</file>

<file path=xl/sharedStrings.xml><?xml version="1.0" encoding="utf-8"?>
<sst xmlns="http://schemas.openxmlformats.org/spreadsheetml/2006/main" count="334" uniqueCount="246">
  <si>
    <t>PLANILHA DE CUSTO E FORMAÇÃO DE PREÇOS</t>
  </si>
  <si>
    <t>Exemplo para Explicação dos Cálculos</t>
  </si>
  <si>
    <t xml:space="preserve"> MÓDULO 1 :   COMPOSIÇÃO DA REMUNERAÇÃO</t>
  </si>
  <si>
    <t>Composição da Remuneração</t>
  </si>
  <si>
    <t>Valor (R$)</t>
  </si>
  <si>
    <t>A</t>
  </si>
  <si>
    <t>Salário Base</t>
  </si>
  <si>
    <t>B</t>
  </si>
  <si>
    <t>Adicional  de periculosidade</t>
  </si>
  <si>
    <t>C</t>
  </si>
  <si>
    <t>Adicional  de insalubridade</t>
  </si>
  <si>
    <t>D</t>
  </si>
  <si>
    <t>Adicional noturno</t>
  </si>
  <si>
    <t>E</t>
  </si>
  <si>
    <t>F</t>
  </si>
  <si>
    <t>Adicional de Hora Extra</t>
  </si>
  <si>
    <t>G</t>
  </si>
  <si>
    <t>H</t>
  </si>
  <si>
    <t>Outros (especificar)</t>
  </si>
  <si>
    <t>Total da Remuneração</t>
  </si>
  <si>
    <t>MÓDULO 2:   BENEFÍCIOS MENSAIS E DIÁRIOS</t>
  </si>
  <si>
    <t>Benefícios Mensais e Diários</t>
  </si>
  <si>
    <t xml:space="preserve">Transporte </t>
  </si>
  <si>
    <t>Auxílio alimentação</t>
  </si>
  <si>
    <t>Total de Benefícios mensais e diários</t>
  </si>
  <si>
    <t>MÓDULO 3:   INSUMOS DIVERSOS</t>
  </si>
  <si>
    <t>Insumos Diversos</t>
  </si>
  <si>
    <t>Uniformes/Epis</t>
  </si>
  <si>
    <t>Materiais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</si>
  <si>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</si>
  <si>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</si>
  <si>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</si>
  <si>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</si>
  <si>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</si>
  <si>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%</t>
  </si>
  <si>
    <t>INSS</t>
  </si>
  <si>
    <t>Salário Educação</t>
  </si>
  <si>
    <t>SEBRAE</t>
  </si>
  <si>
    <t>SESI ou SESC</t>
  </si>
  <si>
    <t>SENAI ou SENAC</t>
  </si>
  <si>
    <t>INCRA</t>
  </si>
  <si>
    <t>FGTS</t>
  </si>
  <si>
    <t>TOTAL</t>
  </si>
  <si>
    <t>Submódulo 4.2 – 13º Salário e Adicional de Férias</t>
  </si>
  <si>
    <t>4.2</t>
  </si>
  <si>
    <t>13º Salário e Adicional de Férias</t>
  </si>
  <si>
    <t xml:space="preserve">13 º Salário </t>
  </si>
  <si>
    <t xml:space="preserve">Adicional de Férias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</si>
  <si>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</si>
  <si>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</si>
  <si>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</si>
  <si>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</si>
  <si>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</si>
  <si>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 xml:space="preserve">Afastamento maternidade </t>
  </si>
  <si>
    <t>Submódulo 4.4 -  Provisão para Rescisão</t>
  </si>
  <si>
    <t>4.4</t>
  </si>
  <si>
    <t>Provisão para Rescisão</t>
  </si>
  <si>
    <t xml:space="preserve">Aviso prévio indenizado </t>
  </si>
  <si>
    <t>Incidência do FGTS sobre aviso prévio indenizado</t>
  </si>
  <si>
    <t>C1</t>
  </si>
  <si>
    <t>FGTS nas rescisões sem justa causa (40%)</t>
  </si>
  <si>
    <t>C2</t>
  </si>
  <si>
    <t>Contribuição Social nas recisões sem justa causa (10%)</t>
  </si>
  <si>
    <t>Incidência do submódulo 4.1 sobre aviso prévio trabalhado</t>
  </si>
  <si>
    <t>Submódulo  4.5  – Custo de Reposição do Profissional Ausente</t>
  </si>
  <si>
    <t>4.5</t>
  </si>
  <si>
    <t>Composição do Custo de Reposição do Profissional Ausente</t>
  </si>
  <si>
    <t>Férias</t>
  </si>
  <si>
    <t xml:space="preserve">Ausência por doença </t>
  </si>
  <si>
    <t>Licença Paternidade</t>
  </si>
  <si>
    <t xml:space="preserve">Ausências legais </t>
  </si>
  <si>
    <t>Ausência por Acidente de trabalho</t>
  </si>
  <si>
    <t>Incidência do submódulo 4.1 sobre o Custo de reposição</t>
  </si>
  <si>
    <t>Quadro - resumo – Módulo 4 - Encargos sociais e trabalhistas</t>
  </si>
  <si>
    <t>Módulo 4 - Encargos sociais e trabalhistas</t>
  </si>
  <si>
    <t>13 º salário + Adicional de férias</t>
  </si>
  <si>
    <t>Afastamento maternidade</t>
  </si>
  <si>
    <t>Custo de rescisão</t>
  </si>
  <si>
    <t>Custo de reposição do profissional ausente</t>
  </si>
  <si>
    <t>4.6</t>
  </si>
  <si>
    <t>SOMA DOS MÓDULOS 1, 2, 3 E 4</t>
  </si>
  <si>
    <t xml:space="preserve"> MÓDULO 5 - CUSTOS INDIRETOS, TRIBUTOS E LUCRO</t>
  </si>
  <si>
    <t>Custos Indiretos, Tributos e Lucro</t>
  </si>
  <si>
    <t>Custos Indiretos</t>
  </si>
  <si>
    <t>Lucro</t>
  </si>
  <si>
    <t>Tributos</t>
  </si>
  <si>
    <t>Base de cálculo dos tributos</t>
  </si>
  <si>
    <t>B1. Tributos Federais - PIS - COFINS</t>
  </si>
  <si>
    <t>B.2  Tributos Estaduais (especificar)</t>
  </si>
  <si>
    <t>B.3   Tributos Municipais - ISS</t>
  </si>
  <si>
    <t>B.4   Outros tributos (especificar)</t>
  </si>
  <si>
    <t>Total</t>
  </si>
  <si>
    <t>Anexo III – B - Quadro-resumo do Custo por Empregado</t>
  </si>
  <si>
    <t>Mão-de-obra vinculada à execução contratual (valor por empregado)</t>
  </si>
  <si>
    <t>(R$)</t>
  </si>
  <si>
    <t>Módulo 1 – Composição da Remuneração</t>
  </si>
  <si>
    <t>Módulo 2 – Benefícios Mensais e Diários</t>
  </si>
  <si>
    <t>Módulo 3 – Insumos Diversos (uniformes, materiais, equip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</si>
  <si>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</si>
  <si>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</si>
  <si>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</si>
  <si>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</si>
  <si>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Art. 22, Inc I, lei 8212/91</t>
  </si>
  <si>
    <t>Art 15, lei 9424/96; e decreto 3142/99</t>
  </si>
  <si>
    <t>Art. 8º, lei 8029/90 e lei 8154/90</t>
  </si>
  <si>
    <t>Art. 3º, lei 8036/90</t>
  </si>
  <si>
    <t>Decreto 2.318/86</t>
  </si>
  <si>
    <t>Lei 7787/89 e DL 1146/70</t>
  </si>
  <si>
    <t>Art. 15, lei 8030/90 e art 7º. III CF</t>
  </si>
  <si>
    <t>RATxFAP, Anexo V Decreto 3048/99 e Decreto 6957/09</t>
  </si>
  <si>
    <t>1/12*100%, Art 7º VIII, CF</t>
  </si>
  <si>
    <t>Art 7º, XVII, CF</t>
  </si>
  <si>
    <t>((remuneração+1/3)x(meses de licença/meses do ano)/mese do ano)x2% de incidência</t>
  </si>
  <si>
    <t>Lei 8036/90 e 9491/97: 8%(FGTS)x40%(Multa)x100%( estimando que todos demitidos ao final do contrato)</t>
  </si>
  <si>
    <t>Lei Complementar 110/01</t>
  </si>
  <si>
    <t>Art 7º, XXI, CF e 477, 487 e 491 CLT: 1sal/30(dias)*7(aviso previo)/12(meses)*100</t>
  </si>
  <si>
    <t>Não haverá</t>
  </si>
  <si>
    <t>Risco acidente do trabalho - RAT ajustado</t>
  </si>
  <si>
    <t>(soma dos módulos 1, 2, 3 e 4) x Custos Indiretos</t>
  </si>
  <si>
    <t>(soma dos módulos 1, 2, 3, 4 + custos indiretos) x lucro</t>
  </si>
  <si>
    <t xml:space="preserve">Seguro de vida, invalidez </t>
  </si>
  <si>
    <t>Plano de saúde</t>
  </si>
  <si>
    <t>Benefício social familiar</t>
  </si>
  <si>
    <t>Hora noturna Reduzida</t>
  </si>
  <si>
    <t>(((Sal+Per)/220*1,2ad noturno)-(Sal+Per)/220)*12h*30dias/2escala de trabalho</t>
  </si>
  <si>
    <t>Observar o que diz a CCT e TR</t>
  </si>
  <si>
    <t>Passagem*22-(6%saláriobase)</t>
  </si>
  <si>
    <t>Contrinuição Patronal</t>
  </si>
  <si>
    <t>Dias trabalhados</t>
  </si>
  <si>
    <t>%sal.base VT</t>
  </si>
  <si>
    <t>% VA</t>
  </si>
  <si>
    <t>%mães no ano</t>
  </si>
  <si>
    <t>% Demitidos Aviso Prévio Indenizado</t>
  </si>
  <si>
    <t>% Aviso Prévio Trabalhado</t>
  </si>
  <si>
    <t>PIS</t>
  </si>
  <si>
    <t>Cofins</t>
  </si>
  <si>
    <t>ISS</t>
  </si>
  <si>
    <t>Diária p/ Reposição</t>
  </si>
  <si>
    <t>diária*30/12</t>
  </si>
  <si>
    <t>Faltas no ano</t>
  </si>
  <si>
    <t>% Pais no Ano</t>
  </si>
  <si>
    <t>% Acidentes</t>
  </si>
  <si>
    <t>Art. XIX CF e 10§1º CLT: 5 faltas * diária *1%pais no ano</t>
  </si>
  <si>
    <t>dias de Férias no ano</t>
  </si>
  <si>
    <t>Nº Faltas legais ano</t>
  </si>
  <si>
    <t>% Ausências legais ano</t>
  </si>
  <si>
    <t>3 casamento + 2 nojo + 1 registro filho + 1 justiça</t>
  </si>
  <si>
    <t>3 casamento(5%) + 2 nojo(2%) + 1 registro do filho(2%) + 1 justiça(2%)</t>
  </si>
  <si>
    <t>Incidência dos encargos previstos no Submódulo 4.1 sobre Afastamento maternidade</t>
  </si>
  <si>
    <t>(4*remuneração+1/3 sal13º+1/3férias*2%incidência*%submódulo4.1)+(remuneção*1/3*1/3*8%*2%incidencia/12)</t>
  </si>
  <si>
    <t>((módulo2-va-vt)*meses licença*2%incidencia)/12</t>
  </si>
  <si>
    <t>Incidência dos benefícios diários que continuam durante a licença maternidade</t>
  </si>
  <si>
    <t>Art 7º, XXI, CF e 477, 487 e 491 CLT: 1mês/12x5%(frequencia anual estimada)x1,5salarios+1/30*3/12</t>
  </si>
  <si>
    <t>Art. 59 e 64 lei 8213/91: 5 faltas * diária * probabilidade faltas ao ano 5/360</t>
  </si>
  <si>
    <t>% faltas ao ano</t>
  </si>
  <si>
    <t>Input de dados</t>
  </si>
  <si>
    <t>(1h*30dias*(sal+Per)/220*1,2adnoturno)/2</t>
  </si>
  <si>
    <t>Ver Aba Insumos Diversos se houver</t>
  </si>
  <si>
    <t>CAPA  - PLANILHA DE CUSTOS E FORMAÇÃO DE PREÇOS</t>
  </si>
  <si>
    <t xml:space="preserve">Mão de obra </t>
  </si>
  <si>
    <t>(Preencher apenas as células em amarelo)</t>
  </si>
  <si>
    <t>(Deverá ser elaborado um quadro para cada tipo de serviço
)</t>
  </si>
  <si>
    <t>Pregão Nº:</t>
  </si>
  <si>
    <t xml:space="preserve">Mão de obra vinculada à execução contratual </t>
  </si>
  <si>
    <t xml:space="preserve">Dados para composição dos custos referentes a mão de obra </t>
  </si>
  <si>
    <t>Data:</t>
  </si>
  <si>
    <t>às:</t>
  </si>
  <si>
    <t>horas</t>
  </si>
  <si>
    <t xml:space="preserve">Tipo de Serviço (mesmo serviço com características distintas) </t>
  </si>
  <si>
    <t xml:space="preserve">Classificação Brasileira de Ocupações (CBO) </t>
  </si>
  <si>
    <t>DISCRIMINAÇÃO DOS SERVIÇOS (DADOS REFERENTES À CONTRATAÇÃO)</t>
  </si>
  <si>
    <t xml:space="preserve">Salário Normativo da Categoria Profissional </t>
  </si>
  <si>
    <t xml:space="preserve">A </t>
  </si>
  <si>
    <t xml:space="preserve">Data de apresentação da proposta (dia/mês/ano): </t>
  </si>
  <si>
    <t xml:space="preserve">Categoria Profissional (vinculada à execução contratual) </t>
  </si>
  <si>
    <t xml:space="preserve">B </t>
  </si>
  <si>
    <t xml:space="preserve">Município/UF: </t>
  </si>
  <si>
    <t xml:space="preserve">C </t>
  </si>
  <si>
    <t xml:space="preserve">Ano do Acordo, Convenção ou Dissídio Coletivo: </t>
  </si>
  <si>
    <t>Data-Base da Categoria (dia/mês/ano)</t>
  </si>
  <si>
    <t xml:space="preserve">D </t>
  </si>
  <si>
    <t>Número de meses de execução contratual:</t>
  </si>
  <si>
    <t>IDENTIFICAÇÃO DO SERVIÇO</t>
  </si>
  <si>
    <t>Tipo de Serviço</t>
  </si>
  <si>
    <t>Unidade de Medida</t>
  </si>
  <si>
    <t>Quantidade total a contratar 
(Em função da unidade de medida)</t>
  </si>
  <si>
    <t xml:space="preserve">Tipo de Serviço (A) </t>
  </si>
  <si>
    <t xml:space="preserve">Valor Proposto por Empregado (B) </t>
  </si>
  <si>
    <t xml:space="preserve">Qtde. de Empregados por Posto (C) </t>
  </si>
  <si>
    <t xml:space="preserve">Valor Proposto por Posto 
(D) = (B x C) </t>
  </si>
  <si>
    <t xml:space="preserve">Qtde. de Postos (E) </t>
  </si>
  <si>
    <t xml:space="preserve">Valor Total do Serviço 
(F) = (D x E) </t>
  </si>
  <si>
    <t>I</t>
  </si>
  <si>
    <t>Valor Mensal dos Serviços</t>
  </si>
  <si>
    <t>QUADRO DEMONSTRATIVO DO VALOR GLOBAL DA PROPOSTA</t>
  </si>
  <si>
    <t>VALOR GLOBAL DA PROPOSTA</t>
  </si>
  <si>
    <t xml:space="preserve">DESCRIÇÃO </t>
  </si>
  <si>
    <t xml:space="preserve">VALOR (R$) </t>
  </si>
  <si>
    <t>Valor proposto por unidade de medida</t>
  </si>
  <si>
    <t xml:space="preserve">Valor mensal do serviço </t>
  </si>
  <si>
    <t>QUADRO RESUMO DO VALOR MENSAL DOS SERVIÇOS</t>
  </si>
  <si>
    <t>Item</t>
  </si>
  <si>
    <t>Vida Útil (meses)</t>
  </si>
  <si>
    <t>Custo mensal por empregado</t>
  </si>
  <si>
    <t>Investimento</t>
  </si>
  <si>
    <t>Custo mensal por empregado (sem financeiro)</t>
  </si>
  <si>
    <t>Custo Financeiro Mensal</t>
  </si>
  <si>
    <t>EQUIPAMENTOS</t>
  </si>
  <si>
    <t>Custo financeiro mensal</t>
  </si>
  <si>
    <t>Qde. por empregado</t>
  </si>
  <si>
    <t>CUSTO TOTAL MENSAL</t>
  </si>
  <si>
    <t>Indicação dos sindicatos, acordos coletivos ou convenções coletivas</t>
  </si>
  <si>
    <t>Validade da Proposta:</t>
  </si>
  <si>
    <t>dias</t>
  </si>
  <si>
    <t>RAZÃO SOCIAL:</t>
  </si>
  <si>
    <t>ENDEREÇO:</t>
  </si>
  <si>
    <t>UF:</t>
  </si>
  <si>
    <t>TELEFONE:</t>
  </si>
  <si>
    <t>(   )</t>
  </si>
  <si>
    <t>EMAIL:</t>
  </si>
  <si>
    <t>Função</t>
  </si>
  <si>
    <t>Quantidade</t>
  </si>
  <si>
    <t>Material</t>
  </si>
  <si>
    <t>Especificação</t>
  </si>
  <si>
    <t>IDENTIFICAÇÃO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</si>
  <si>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</si>
  <si>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</si>
  <si>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</si>
  <si>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</si>
  <si>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</si>
  <si>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</si>
  <si>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</si>
  <si>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</si>
  <si>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</si>
  <si>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</si>
  <si>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RELAÇÃO DOS MATERIAIS E EQUIPAMENTOS</t>
  </si>
  <si>
    <t>OUTRAS INFORMAÇÕES IMPORTANTES</t>
  </si>
  <si>
    <t>PROPOSTA</t>
  </si>
  <si>
    <t xml:space="preserve">CEP: </t>
  </si>
  <si>
    <t>% Plano de Saúde</t>
  </si>
  <si>
    <t>Profissional</t>
  </si>
  <si>
    <t>Aviso prévio trabalhado (pago somente no 1º ano de contrato)</t>
  </si>
  <si>
    <t>Equipamentos (Ponto eletrônico)</t>
  </si>
  <si>
    <t>Valor global da proposta 
(Valor mensal do serviço multiplicado pelo número de meses do contrato - 9 meses).</t>
  </si>
  <si>
    <t>Ponto eletrônico</t>
  </si>
  <si>
    <t>Art.19 a 23 lei 8213/91: 15 dias * diária * 8% frequencia ao ano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</si>
</sst>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  <numFmt numFmtId="167" formatCode="0.0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u val="single"/>
      <sz val="9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10"/>
      <name val="Tahoma"/>
      <family val="2"/>
    </font>
    <font>
      <sz val="8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  <font>
      <b/>
      <sz val="11"/>
      <color theme="1"/>
      <name val="Tahoma"/>
      <family val="2"/>
    </font>
    <font>
      <sz val="9"/>
      <color rgb="FFFF0000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32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6" fillId="32" borderId="10" xfId="0" applyFont="1" applyFill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4" xfId="0" applyFont="1" applyFill="1" applyBorder="1" applyAlignment="1">
      <alignment horizontal="center" vertical="center" wrapText="1"/>
    </xf>
    <xf numFmtId="0" fontId="4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46" fillId="32" borderId="10" xfId="0" applyNumberFormat="1" applyFont="1" applyFill="1" applyBorder="1" applyAlignment="1">
      <alignment horizontal="center" vertical="center" wrapText="1"/>
    </xf>
    <xf numFmtId="3" fontId="46" fillId="32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2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8" fontId="46" fillId="0" borderId="10" xfId="0" applyNumberFormat="1" applyFont="1" applyBorder="1" applyAlignment="1">
      <alignment vertical="center" wrapText="1"/>
    </xf>
    <xf numFmtId="8" fontId="47" fillId="0" borderId="10" xfId="0" applyNumberFormat="1" applyFont="1" applyBorder="1" applyAlignment="1">
      <alignment vertical="center" wrapText="1"/>
    </xf>
    <xf numFmtId="0" fontId="47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8" fillId="13" borderId="15" xfId="0" applyFont="1" applyFill="1" applyBorder="1" applyAlignment="1">
      <alignment vertical="center" wrapText="1"/>
    </xf>
    <xf numFmtId="0" fontId="8" fillId="13" borderId="16" xfId="0" applyFont="1" applyFill="1" applyBorder="1" applyAlignment="1">
      <alignment vertical="center" wrapText="1"/>
    </xf>
    <xf numFmtId="0" fontId="8" fillId="13" borderId="17" xfId="0" applyFont="1" applyFill="1" applyBorder="1" applyAlignment="1">
      <alignment vertical="center" wrapText="1"/>
    </xf>
    <xf numFmtId="9" fontId="8" fillId="13" borderId="18" xfId="5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8" fillId="13" borderId="19" xfId="0" applyFont="1" applyFill="1" applyBorder="1" applyAlignment="1">
      <alignment vertical="center" wrapText="1"/>
    </xf>
    <xf numFmtId="9" fontId="8" fillId="13" borderId="20" xfId="5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0" fontId="4" fillId="0" borderId="10" xfId="51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10" fontId="4" fillId="0" borderId="10" xfId="51" applyNumberFormat="1" applyFont="1" applyFill="1" applyBorder="1" applyAlignment="1">
      <alignment horizontal="center" vertical="center"/>
    </xf>
    <xf numFmtId="10" fontId="5" fillId="0" borderId="10" xfId="51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0" fontId="4" fillId="0" borderId="10" xfId="0" applyNumberFormat="1" applyFont="1" applyFill="1" applyBorder="1" applyAlignment="1">
      <alignment horizontal="center" vertical="center"/>
    </xf>
    <xf numFmtId="9" fontId="8" fillId="0" borderId="0" xfId="51" applyFont="1" applyAlignment="1">
      <alignment vertical="center" wrapText="1"/>
    </xf>
    <xf numFmtId="0" fontId="4" fillId="0" borderId="0" xfId="0" applyFont="1" applyFill="1" applyAlignment="1">
      <alignment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10" fontId="8" fillId="0" borderId="0" xfId="51" applyNumberFormat="1" applyFont="1" applyAlignment="1">
      <alignment vertical="center"/>
    </xf>
    <xf numFmtId="10" fontId="8" fillId="0" borderId="0" xfId="51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vertical="center" wrapText="1"/>
    </xf>
    <xf numFmtId="43" fontId="4" fillId="0" borderId="10" xfId="0" applyNumberFormat="1" applyFont="1" applyBorder="1" applyAlignment="1">
      <alignment vertical="center"/>
    </xf>
    <xf numFmtId="43" fontId="4" fillId="0" borderId="10" xfId="63" applyFont="1" applyBorder="1" applyAlignment="1">
      <alignment vertical="center"/>
    </xf>
    <xf numFmtId="166" fontId="5" fillId="0" borderId="10" xfId="63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4" fontId="46" fillId="0" borderId="0" xfId="0" applyNumberFormat="1" applyFont="1" applyBorder="1" applyAlignment="1">
      <alignment vertical="center"/>
    </xf>
    <xf numFmtId="0" fontId="46" fillId="32" borderId="21" xfId="0" applyFont="1" applyFill="1" applyBorder="1" applyAlignment="1">
      <alignment horizontal="left" vertical="center" wrapText="1"/>
    </xf>
    <xf numFmtId="0" fontId="46" fillId="32" borderId="22" xfId="0" applyFont="1" applyFill="1" applyBorder="1" applyAlignment="1">
      <alignment horizontal="left" vertical="center" wrapText="1"/>
    </xf>
    <xf numFmtId="0" fontId="46" fillId="32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46" fillId="32" borderId="11" xfId="0" applyFont="1" applyFill="1" applyBorder="1" applyAlignment="1">
      <alignment horizontal="left" vertical="center" wrapText="1"/>
    </xf>
    <xf numFmtId="0" fontId="46" fillId="32" borderId="26" xfId="0" applyFont="1" applyFill="1" applyBorder="1" applyAlignment="1">
      <alignment horizontal="left" vertical="center" wrapText="1"/>
    </xf>
    <xf numFmtId="0" fontId="46" fillId="32" borderId="12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left" vertical="center"/>
    </xf>
    <xf numFmtId="0" fontId="51" fillId="32" borderId="10" xfId="0" applyFont="1" applyFill="1" applyBorder="1" applyAlignment="1">
      <alignment horizontal="left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2" borderId="10" xfId="0" applyFont="1" applyFill="1" applyBorder="1" applyAlignment="1">
      <alignment horizontal="left" vertical="center"/>
    </xf>
    <xf numFmtId="0" fontId="46" fillId="32" borderId="10" xfId="0" applyFont="1" applyFill="1" applyBorder="1" applyAlignment="1">
      <alignment horizontal="left" vertical="center"/>
    </xf>
    <xf numFmtId="0" fontId="46" fillId="2" borderId="34" xfId="0" applyFon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left" vertical="center"/>
    </xf>
    <xf numFmtId="0" fontId="46" fillId="2" borderId="26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46" fillId="32" borderId="11" xfId="0" applyFont="1" applyFill="1" applyBorder="1" applyAlignment="1">
      <alignment horizontal="left" vertical="center"/>
    </xf>
    <xf numFmtId="0" fontId="46" fillId="32" borderId="26" xfId="0" applyFont="1" applyFill="1" applyBorder="1" applyAlignment="1">
      <alignment horizontal="left" vertical="center"/>
    </xf>
    <xf numFmtId="0" fontId="46" fillId="32" borderId="12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0" borderId="10" xfId="51" applyNumberFormat="1" applyFont="1" applyFill="1" applyBorder="1" applyAlignment="1">
      <alignment horizontal="center" vertical="center"/>
    </xf>
    <xf numFmtId="166" fontId="4" fillId="0" borderId="11" xfId="51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2" borderId="11" xfId="0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15" zoomScaleNormal="115" zoomScaleSheetLayoutView="130" zoomScalePageLayoutView="0" workbookViewId="0" topLeftCell="A1">
      <selection activeCell="H2" sqref="H2"/>
    </sheetView>
  </sheetViews>
  <sheetFormatPr defaultColWidth="9.140625" defaultRowHeight="15"/>
  <cols>
    <col min="1" max="1" width="13.28125" style="25" customWidth="1"/>
    <col min="2" max="6" width="15.28125" style="25" customWidth="1"/>
    <col min="7" max="16384" width="9.140625" style="25" customWidth="1"/>
  </cols>
  <sheetData>
    <row r="1" spans="1:6" ht="18" customHeight="1" thickBot="1">
      <c r="A1" s="112" t="s">
        <v>237</v>
      </c>
      <c r="B1" s="113"/>
      <c r="C1" s="113"/>
      <c r="D1" s="113"/>
      <c r="E1" s="113"/>
      <c r="F1" s="114"/>
    </row>
    <row r="2" spans="1:7" ht="18" customHeight="1">
      <c r="A2" s="115" t="s">
        <v>160</v>
      </c>
      <c r="B2" s="115"/>
      <c r="C2" s="115"/>
      <c r="D2" s="115"/>
      <c r="E2" s="115"/>
      <c r="F2" s="115"/>
      <c r="G2" s="8"/>
    </row>
    <row r="3" ht="18" customHeight="1"/>
    <row r="4" spans="1:6" ht="18" customHeight="1">
      <c r="A4" s="109" t="s">
        <v>224</v>
      </c>
      <c r="B4" s="110"/>
      <c r="C4" s="110"/>
      <c r="D4" s="110"/>
      <c r="E4" s="110"/>
      <c r="F4" s="111"/>
    </row>
    <row r="5" spans="1:6" ht="18" customHeight="1">
      <c r="A5" s="24" t="s">
        <v>214</v>
      </c>
      <c r="B5" s="95"/>
      <c r="C5" s="96"/>
      <c r="D5" s="96"/>
      <c r="E5" s="96"/>
      <c r="F5" s="97"/>
    </row>
    <row r="6" spans="1:6" ht="18" customHeight="1">
      <c r="A6" s="24" t="s">
        <v>215</v>
      </c>
      <c r="B6" s="95"/>
      <c r="C6" s="96"/>
      <c r="D6" s="97"/>
      <c r="E6" s="34" t="s">
        <v>216</v>
      </c>
      <c r="F6" s="34" t="s">
        <v>238</v>
      </c>
    </row>
    <row r="7" spans="1:6" ht="18" customHeight="1">
      <c r="A7" s="24" t="s">
        <v>217</v>
      </c>
      <c r="B7" s="116" t="s">
        <v>218</v>
      </c>
      <c r="C7" s="117"/>
      <c r="D7" s="117"/>
      <c r="E7" s="117"/>
      <c r="F7" s="118"/>
    </row>
    <row r="8" spans="1:6" ht="18" customHeight="1">
      <c r="A8" s="24" t="s">
        <v>219</v>
      </c>
      <c r="B8" s="95"/>
      <c r="C8" s="96"/>
      <c r="D8" s="96"/>
      <c r="E8" s="96"/>
      <c r="F8" s="97"/>
    </row>
    <row r="9" ht="18" customHeight="1"/>
    <row r="10" ht="18" customHeight="1"/>
    <row r="11" spans="1:6" ht="23.25" customHeight="1">
      <c r="A11" s="26" t="s">
        <v>225</v>
      </c>
      <c r="B11" s="26" t="s">
        <v>226</v>
      </c>
      <c r="C11" s="27" t="s">
        <v>227</v>
      </c>
      <c r="D11" s="26" t="s">
        <v>228</v>
      </c>
      <c r="E11" s="26" t="s">
        <v>229</v>
      </c>
      <c r="F11" s="26" t="s">
        <v>230</v>
      </c>
    </row>
    <row r="12" spans="1:6" ht="18" customHeight="1">
      <c r="A12" s="33"/>
      <c r="B12" s="33"/>
      <c r="C12" s="33"/>
      <c r="D12" s="33"/>
      <c r="E12" s="33"/>
      <c r="F12" s="33"/>
    </row>
    <row r="13" spans="1:6" ht="18" customHeight="1">
      <c r="A13" s="33"/>
      <c r="B13" s="33"/>
      <c r="C13" s="33"/>
      <c r="D13" s="33"/>
      <c r="E13" s="33"/>
      <c r="F13" s="33"/>
    </row>
    <row r="14" spans="1:6" ht="18" customHeight="1">
      <c r="A14" s="33"/>
      <c r="B14" s="33"/>
      <c r="C14" s="33"/>
      <c r="D14" s="33"/>
      <c r="E14" s="33"/>
      <c r="F14" s="33"/>
    </row>
    <row r="15" spans="1:6" ht="18" customHeight="1">
      <c r="A15" s="33"/>
      <c r="B15" s="33"/>
      <c r="C15" s="33"/>
      <c r="D15" s="33"/>
      <c r="E15" s="33"/>
      <c r="F15" s="33"/>
    </row>
    <row r="16" ht="18" customHeight="1"/>
    <row r="17" ht="18" customHeight="1"/>
    <row r="18" spans="1:6" ht="18" customHeight="1">
      <c r="A18" s="98" t="s">
        <v>231</v>
      </c>
      <c r="B18" s="99"/>
      <c r="C18" s="99"/>
      <c r="D18" s="99"/>
      <c r="E18" s="99"/>
      <c r="F18" s="100"/>
    </row>
    <row r="19" spans="1:6" ht="18" customHeight="1">
      <c r="A19" s="106"/>
      <c r="B19" s="107"/>
      <c r="C19" s="107"/>
      <c r="D19" s="107"/>
      <c r="E19" s="107"/>
      <c r="F19" s="108"/>
    </row>
    <row r="20" ht="18" customHeight="1"/>
    <row r="21" ht="18" customHeight="1"/>
    <row r="22" spans="1:6" ht="18" customHeight="1">
      <c r="A22" s="101" t="s">
        <v>232</v>
      </c>
      <c r="B22" s="102"/>
      <c r="C22" s="102"/>
      <c r="D22" s="102"/>
      <c r="E22" s="102"/>
      <c r="F22" s="103"/>
    </row>
    <row r="23" spans="1:6" ht="18" customHeight="1">
      <c r="A23" s="106"/>
      <c r="B23" s="107"/>
      <c r="C23" s="107"/>
      <c r="D23" s="107"/>
      <c r="E23" s="107"/>
      <c r="F23" s="108"/>
    </row>
    <row r="24" ht="18" customHeight="1"/>
    <row r="25" ht="18" customHeight="1"/>
    <row r="26" spans="1:6" ht="18" customHeight="1">
      <c r="A26" s="120" t="s">
        <v>233</v>
      </c>
      <c r="B26" s="121"/>
      <c r="C26" s="121"/>
      <c r="D26" s="121"/>
      <c r="E26" s="121"/>
      <c r="F26" s="122"/>
    </row>
    <row r="27" spans="1:6" ht="18" customHeight="1">
      <c r="A27" s="106"/>
      <c r="B27" s="107"/>
      <c r="C27" s="107"/>
      <c r="D27" s="107"/>
      <c r="E27" s="107"/>
      <c r="F27" s="108"/>
    </row>
    <row r="28" ht="18" customHeight="1"/>
    <row r="29" ht="18" customHeight="1"/>
    <row r="30" spans="1:3" ht="18" customHeight="1">
      <c r="A30" s="109" t="s">
        <v>234</v>
      </c>
      <c r="B30" s="110"/>
      <c r="C30" s="111"/>
    </row>
    <row r="31" spans="1:3" ht="18" customHeight="1">
      <c r="A31" s="123" t="s">
        <v>220</v>
      </c>
      <c r="B31" s="124"/>
      <c r="C31" s="35" t="s">
        <v>221</v>
      </c>
    </row>
    <row r="32" spans="1:3" ht="18" customHeight="1">
      <c r="A32" s="125"/>
      <c r="B32" s="126"/>
      <c r="C32" s="32"/>
    </row>
    <row r="33" ht="18" customHeight="1"/>
    <row r="34" ht="18" customHeight="1"/>
    <row r="35" spans="1:6" ht="18" customHeight="1">
      <c r="A35" s="119" t="s">
        <v>235</v>
      </c>
      <c r="B35" s="119"/>
      <c r="C35" s="119"/>
      <c r="D35" s="119"/>
      <c r="E35" s="119"/>
      <c r="F35" s="119"/>
    </row>
    <row r="36" spans="1:6" ht="18" customHeight="1">
      <c r="A36" s="104" t="s">
        <v>222</v>
      </c>
      <c r="B36" s="104"/>
      <c r="C36" s="29" t="s">
        <v>221</v>
      </c>
      <c r="D36" s="104" t="s">
        <v>223</v>
      </c>
      <c r="E36" s="104"/>
      <c r="F36" s="104"/>
    </row>
    <row r="37" spans="1:6" ht="18" customHeight="1">
      <c r="A37" s="105"/>
      <c r="B37" s="105"/>
      <c r="C37" s="31"/>
      <c r="D37" s="105"/>
      <c r="E37" s="105"/>
      <c r="F37" s="105"/>
    </row>
    <row r="38" ht="18" customHeight="1"/>
    <row r="39" ht="18" customHeight="1"/>
    <row r="40" spans="1:6" ht="18" customHeight="1">
      <c r="A40" s="109" t="s">
        <v>236</v>
      </c>
      <c r="B40" s="110"/>
      <c r="C40" s="110"/>
      <c r="D40" s="110"/>
      <c r="E40" s="110"/>
      <c r="F40" s="111"/>
    </row>
    <row r="41" spans="1:6" ht="18" customHeight="1">
      <c r="A41" s="106"/>
      <c r="B41" s="107"/>
      <c r="C41" s="107"/>
      <c r="D41" s="107"/>
      <c r="E41" s="107"/>
      <c r="F41" s="108"/>
    </row>
    <row r="42" ht="18" customHeight="1"/>
    <row r="43" ht="18" customHeight="1"/>
    <row r="44" ht="18" customHeight="1"/>
    <row r="45" ht="18" customHeight="1"/>
    <row r="46" ht="18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23">
    <mergeCell ref="A41:F41"/>
    <mergeCell ref="A40:F40"/>
    <mergeCell ref="A1:F1"/>
    <mergeCell ref="A2:F2"/>
    <mergeCell ref="B8:F8"/>
    <mergeCell ref="B7:F7"/>
    <mergeCell ref="A35:F35"/>
    <mergeCell ref="A26:F26"/>
    <mergeCell ref="A30:C30"/>
    <mergeCell ref="A19:F19"/>
    <mergeCell ref="A23:F23"/>
    <mergeCell ref="A27:F27"/>
    <mergeCell ref="A31:B31"/>
    <mergeCell ref="A32:B32"/>
    <mergeCell ref="A4:F4"/>
    <mergeCell ref="B5:F5"/>
    <mergeCell ref="B6:D6"/>
    <mergeCell ref="A18:F18"/>
    <mergeCell ref="A22:F22"/>
    <mergeCell ref="A36:B36"/>
    <mergeCell ref="A37:B37"/>
    <mergeCell ref="D36:F36"/>
    <mergeCell ref="D37:F37"/>
  </mergeCells>
  <printOptions horizontalCentered="1"/>
  <pageMargins left="0.9055118110236221" right="0.5118110236220472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7"/>
  <sheetViews>
    <sheetView zoomScale="115" zoomScaleNormal="115" zoomScalePageLayoutView="0" workbookViewId="0" topLeftCell="A1">
      <selection activeCell="J2" sqref="J2"/>
    </sheetView>
  </sheetViews>
  <sheetFormatPr defaultColWidth="9.140625" defaultRowHeight="15"/>
  <cols>
    <col min="1" max="1" width="5.7109375" style="8" customWidth="1"/>
    <col min="2" max="2" width="10.57421875" style="8" customWidth="1"/>
    <col min="3" max="3" width="10.7109375" style="8" bestFit="1" customWidth="1"/>
    <col min="4" max="7" width="9.140625" style="8" customWidth="1"/>
    <col min="8" max="8" width="19.57421875" style="8" customWidth="1"/>
    <col min="9" max="9" width="5.7109375" style="9" customWidth="1"/>
    <col min="10" max="10" width="5.7109375" style="8" customWidth="1"/>
    <col min="11" max="17" width="9.140625" style="8" customWidth="1"/>
    <col min="18" max="18" width="5.7109375" style="8" customWidth="1"/>
    <col min="19" max="16384" width="9.140625" style="8" customWidth="1"/>
  </cols>
  <sheetData>
    <row r="1" ht="19.5" customHeight="1"/>
    <row r="2" ht="19.5" customHeight="1" thickBot="1"/>
    <row r="3" spans="2:11" ht="19.5" customHeight="1" thickBot="1">
      <c r="B3" s="112" t="s">
        <v>158</v>
      </c>
      <c r="C3" s="113"/>
      <c r="D3" s="113"/>
      <c r="E3" s="113"/>
      <c r="F3" s="113"/>
      <c r="G3" s="113"/>
      <c r="H3" s="114"/>
      <c r="I3" s="10"/>
      <c r="K3" s="11" t="s">
        <v>159</v>
      </c>
    </row>
    <row r="4" spans="2:11" ht="19.5" customHeight="1">
      <c r="B4" s="147" t="s">
        <v>160</v>
      </c>
      <c r="C4" s="147"/>
      <c r="D4" s="147"/>
      <c r="E4" s="147"/>
      <c r="F4" s="147"/>
      <c r="G4" s="147"/>
      <c r="H4" s="147"/>
      <c r="I4" s="12"/>
      <c r="K4" s="28" t="s">
        <v>161</v>
      </c>
    </row>
    <row r="5" ht="19.5" customHeight="1">
      <c r="K5" s="11"/>
    </row>
    <row r="6" spans="2:11" ht="19.5" customHeight="1">
      <c r="B6" s="13" t="s">
        <v>162</v>
      </c>
      <c r="C6" s="14"/>
      <c r="K6" s="11" t="s">
        <v>163</v>
      </c>
    </row>
    <row r="7" ht="19.5" customHeight="1"/>
    <row r="8" spans="2:17" ht="19.5" customHeight="1">
      <c r="B8" s="13" t="s">
        <v>165</v>
      </c>
      <c r="C8" s="14"/>
      <c r="D8" s="15" t="s">
        <v>166</v>
      </c>
      <c r="E8" s="16"/>
      <c r="F8" s="13" t="s">
        <v>167</v>
      </c>
      <c r="K8" s="148" t="s">
        <v>164</v>
      </c>
      <c r="L8" s="149"/>
      <c r="M8" s="149"/>
      <c r="N8" s="149"/>
      <c r="O8" s="149"/>
      <c r="P8" s="149"/>
      <c r="Q8" s="150"/>
    </row>
    <row r="9" spans="11:17" ht="19.5" customHeight="1">
      <c r="K9" s="139">
        <v>1</v>
      </c>
      <c r="L9" s="141" t="s">
        <v>168</v>
      </c>
      <c r="M9" s="142"/>
      <c r="N9" s="142"/>
      <c r="O9" s="142"/>
      <c r="P9" s="142"/>
      <c r="Q9" s="143"/>
    </row>
    <row r="10" spans="2:17" ht="19.5" customHeight="1">
      <c r="B10" s="17" t="s">
        <v>212</v>
      </c>
      <c r="C10" s="18"/>
      <c r="D10" s="14"/>
      <c r="E10" s="8" t="s">
        <v>213</v>
      </c>
      <c r="K10" s="140"/>
      <c r="L10" s="144"/>
      <c r="M10" s="145"/>
      <c r="N10" s="145"/>
      <c r="O10" s="145"/>
      <c r="P10" s="145"/>
      <c r="Q10" s="146"/>
    </row>
    <row r="11" spans="11:17" ht="19.5" customHeight="1">
      <c r="K11" s="139">
        <v>2</v>
      </c>
      <c r="L11" s="141" t="s">
        <v>169</v>
      </c>
      <c r="M11" s="142"/>
      <c r="N11" s="142"/>
      <c r="O11" s="142"/>
      <c r="P11" s="142"/>
      <c r="Q11" s="143"/>
    </row>
    <row r="12" spans="11:17" ht="19.5" customHeight="1">
      <c r="K12" s="140"/>
      <c r="L12" s="144"/>
      <c r="M12" s="145"/>
      <c r="N12" s="145"/>
      <c r="O12" s="145"/>
      <c r="P12" s="145"/>
      <c r="Q12" s="146"/>
    </row>
    <row r="13" spans="9:17" ht="19.5" customHeight="1" thickBot="1">
      <c r="I13" s="10"/>
      <c r="K13" s="139">
        <v>3</v>
      </c>
      <c r="L13" s="141" t="s">
        <v>171</v>
      </c>
      <c r="M13" s="142"/>
      <c r="N13" s="142"/>
      <c r="O13" s="142"/>
      <c r="P13" s="142"/>
      <c r="Q13" s="143"/>
    </row>
    <row r="14" spans="2:17" ht="19.5" customHeight="1" thickBot="1">
      <c r="B14" s="131" t="s">
        <v>170</v>
      </c>
      <c r="C14" s="132"/>
      <c r="D14" s="132"/>
      <c r="E14" s="132"/>
      <c r="F14" s="132"/>
      <c r="G14" s="132"/>
      <c r="H14" s="133"/>
      <c r="K14" s="140"/>
      <c r="L14" s="144"/>
      <c r="M14" s="145"/>
      <c r="N14" s="145"/>
      <c r="O14" s="145"/>
      <c r="P14" s="145"/>
      <c r="Q14" s="146"/>
    </row>
    <row r="15" spans="9:17" ht="19.5" customHeight="1">
      <c r="I15" s="20"/>
      <c r="K15" s="134">
        <v>4</v>
      </c>
      <c r="L15" s="137" t="s">
        <v>174</v>
      </c>
      <c r="M15" s="137"/>
      <c r="N15" s="137"/>
      <c r="O15" s="137"/>
      <c r="P15" s="137"/>
      <c r="Q15" s="137"/>
    </row>
    <row r="16" spans="2:17" ht="19.5" customHeight="1">
      <c r="B16" s="19" t="s">
        <v>172</v>
      </c>
      <c r="C16" s="136" t="s">
        <v>173</v>
      </c>
      <c r="D16" s="136"/>
      <c r="E16" s="136"/>
      <c r="F16" s="136"/>
      <c r="G16" s="136"/>
      <c r="H16" s="14"/>
      <c r="I16" s="20"/>
      <c r="K16" s="134"/>
      <c r="L16" s="138"/>
      <c r="M16" s="138"/>
      <c r="N16" s="138"/>
      <c r="O16" s="138"/>
      <c r="P16" s="138"/>
      <c r="Q16" s="138"/>
    </row>
    <row r="17" spans="2:17" ht="19.5" customHeight="1">
      <c r="B17" s="19" t="s">
        <v>175</v>
      </c>
      <c r="C17" s="136" t="s">
        <v>176</v>
      </c>
      <c r="D17" s="136"/>
      <c r="E17" s="136"/>
      <c r="F17" s="136"/>
      <c r="G17" s="136"/>
      <c r="H17" s="14"/>
      <c r="I17" s="20"/>
      <c r="K17" s="134">
        <v>5</v>
      </c>
      <c r="L17" s="137" t="s">
        <v>179</v>
      </c>
      <c r="M17" s="137"/>
      <c r="N17" s="137"/>
      <c r="O17" s="137"/>
      <c r="P17" s="137"/>
      <c r="Q17" s="137"/>
    </row>
    <row r="18" spans="2:17" ht="19.5" customHeight="1">
      <c r="B18" s="19" t="s">
        <v>177</v>
      </c>
      <c r="C18" s="136" t="s">
        <v>178</v>
      </c>
      <c r="D18" s="136"/>
      <c r="E18" s="136"/>
      <c r="F18" s="136"/>
      <c r="G18" s="136"/>
      <c r="H18" s="14"/>
      <c r="I18" s="20"/>
      <c r="K18" s="134"/>
      <c r="L18" s="138"/>
      <c r="M18" s="138"/>
      <c r="N18" s="138"/>
      <c r="O18" s="138"/>
      <c r="P18" s="138"/>
      <c r="Q18" s="138"/>
    </row>
    <row r="19" spans="2:17" ht="19.5" customHeight="1">
      <c r="B19" s="19" t="s">
        <v>180</v>
      </c>
      <c r="C19" s="136" t="s">
        <v>181</v>
      </c>
      <c r="D19" s="136"/>
      <c r="E19" s="136"/>
      <c r="F19" s="136"/>
      <c r="G19" s="136"/>
      <c r="H19" s="14"/>
      <c r="K19" s="128">
        <v>6</v>
      </c>
      <c r="L19" s="129" t="s">
        <v>211</v>
      </c>
      <c r="M19" s="129"/>
      <c r="N19" s="129"/>
      <c r="O19" s="129"/>
      <c r="P19" s="129"/>
      <c r="Q19" s="129"/>
    </row>
    <row r="20" spans="11:17" ht="19.5" customHeight="1">
      <c r="K20" s="128"/>
      <c r="L20" s="130"/>
      <c r="M20" s="130"/>
      <c r="N20" s="130"/>
      <c r="O20" s="130"/>
      <c r="P20" s="130"/>
      <c r="Q20" s="130"/>
    </row>
    <row r="21" ht="19.5" customHeight="1"/>
    <row r="22" ht="19.5" customHeight="1" thickBot="1">
      <c r="I22" s="10"/>
    </row>
    <row r="23" spans="2:8" ht="19.5" customHeight="1" thickBot="1">
      <c r="B23" s="131" t="s">
        <v>182</v>
      </c>
      <c r="C23" s="132"/>
      <c r="D23" s="132"/>
      <c r="E23" s="132"/>
      <c r="F23" s="132"/>
      <c r="G23" s="132"/>
      <c r="H23" s="133"/>
    </row>
    <row r="24" ht="19.5" customHeight="1">
      <c r="I24" s="22"/>
    </row>
    <row r="25" spans="2:9" ht="26.25" customHeight="1">
      <c r="B25" s="134" t="s">
        <v>183</v>
      </c>
      <c r="C25" s="134"/>
      <c r="D25" s="134" t="s">
        <v>184</v>
      </c>
      <c r="E25" s="134"/>
      <c r="F25" s="135" t="s">
        <v>185</v>
      </c>
      <c r="G25" s="135"/>
      <c r="H25" s="135"/>
      <c r="I25" s="23"/>
    </row>
    <row r="26" spans="2:9" ht="19.5" customHeight="1">
      <c r="B26" s="127"/>
      <c r="C26" s="127"/>
      <c r="D26" s="127"/>
      <c r="E26" s="127"/>
      <c r="F26" s="127"/>
      <c r="G26" s="127"/>
      <c r="H26" s="127"/>
      <c r="I26" s="23"/>
    </row>
    <row r="27" spans="2:8" ht="19.5" customHeight="1">
      <c r="B27" s="127"/>
      <c r="C27" s="127"/>
      <c r="D27" s="127"/>
      <c r="E27" s="127"/>
      <c r="F27" s="127"/>
      <c r="G27" s="127"/>
      <c r="H27" s="127"/>
    </row>
    <row r="28" ht="19.5" customHeight="1"/>
    <row r="29" ht="19.5" customHeight="1"/>
    <row r="30" ht="19.5" customHeight="1"/>
    <row r="31" ht="19.5" customHeight="1"/>
  </sheetData>
  <sheetProtection/>
  <mergeCells count="36">
    <mergeCell ref="B3:H3"/>
    <mergeCell ref="B4:H4"/>
    <mergeCell ref="K8:Q8"/>
    <mergeCell ref="K9:K10"/>
    <mergeCell ref="L9:Q9"/>
    <mergeCell ref="L10:Q10"/>
    <mergeCell ref="K11:K12"/>
    <mergeCell ref="L11:Q11"/>
    <mergeCell ref="L12:Q12"/>
    <mergeCell ref="B14:H14"/>
    <mergeCell ref="K13:K14"/>
    <mergeCell ref="L13:Q13"/>
    <mergeCell ref="L14:Q14"/>
    <mergeCell ref="C18:G18"/>
    <mergeCell ref="K17:K18"/>
    <mergeCell ref="L17:Q17"/>
    <mergeCell ref="C19:G19"/>
    <mergeCell ref="L18:Q18"/>
    <mergeCell ref="C16:G16"/>
    <mergeCell ref="K15:K16"/>
    <mergeCell ref="L15:Q15"/>
    <mergeCell ref="C17:G17"/>
    <mergeCell ref="L16:Q16"/>
    <mergeCell ref="B27:C27"/>
    <mergeCell ref="D27:E27"/>
    <mergeCell ref="F27:H27"/>
    <mergeCell ref="K19:K20"/>
    <mergeCell ref="L19:Q19"/>
    <mergeCell ref="L20:Q20"/>
    <mergeCell ref="B23:H23"/>
    <mergeCell ref="B25:C25"/>
    <mergeCell ref="D25:E25"/>
    <mergeCell ref="F25:H25"/>
    <mergeCell ref="B26:C26"/>
    <mergeCell ref="D26:E26"/>
    <mergeCell ref="F26:H26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portrait" paperSize="9" scale="92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="90" zoomScaleNormal="90" zoomScaleSheetLayoutView="100" zoomScalePageLayoutView="0" workbookViewId="0" topLeftCell="A118">
      <selection activeCell="E6" sqref="E6"/>
    </sheetView>
  </sheetViews>
  <sheetFormatPr defaultColWidth="9.140625" defaultRowHeight="15"/>
  <cols>
    <col min="1" max="1" width="5.7109375" style="8" customWidth="1"/>
    <col min="2" max="2" width="53.57421875" style="8" customWidth="1"/>
    <col min="3" max="3" width="10.7109375" style="8" customWidth="1"/>
    <col min="4" max="4" width="12.421875" style="8" customWidth="1"/>
    <col min="5" max="5" width="16.421875" style="51" customWidth="1"/>
    <col min="6" max="6" width="6.00390625" style="51" customWidth="1"/>
    <col min="7" max="7" width="34.57421875" style="50" customWidth="1"/>
    <col min="8" max="16384" width="8.8515625" style="8" customWidth="1"/>
  </cols>
  <sheetData>
    <row r="1" spans="1:4" ht="11.25">
      <c r="A1" s="170" t="s">
        <v>0</v>
      </c>
      <c r="B1" s="170"/>
      <c r="C1" s="170"/>
      <c r="D1" s="170"/>
    </row>
    <row r="2" spans="1:4" ht="11.25">
      <c r="A2" s="52"/>
      <c r="B2" s="53"/>
      <c r="C2" s="54"/>
      <c r="D2" s="54"/>
    </row>
    <row r="3" spans="1:4" ht="11.25">
      <c r="A3" s="55"/>
      <c r="B3" s="55"/>
      <c r="C3" s="55"/>
      <c r="D3" s="55"/>
    </row>
    <row r="4" spans="1:4" ht="11.25">
      <c r="A4" s="56" t="s">
        <v>2</v>
      </c>
      <c r="B4" s="56"/>
      <c r="C4" s="171"/>
      <c r="D4" s="171"/>
    </row>
    <row r="5" spans="1:7" ht="11.25">
      <c r="A5" s="55"/>
      <c r="B5" s="53"/>
      <c r="C5" s="172" t="s">
        <v>240</v>
      </c>
      <c r="D5" s="172"/>
      <c r="G5" s="53" t="s">
        <v>1</v>
      </c>
    </row>
    <row r="6" spans="1:4" ht="11.25">
      <c r="A6" s="57"/>
      <c r="B6" s="58" t="s">
        <v>3</v>
      </c>
      <c r="C6" s="153" t="s">
        <v>4</v>
      </c>
      <c r="D6" s="153"/>
    </row>
    <row r="7" spans="1:4" ht="11.25">
      <c r="A7" s="59" t="s">
        <v>5</v>
      </c>
      <c r="B7" s="59" t="s">
        <v>6</v>
      </c>
      <c r="C7" s="165">
        <v>1538.62</v>
      </c>
      <c r="D7" s="165"/>
    </row>
    <row r="8" spans="1:4" ht="11.25">
      <c r="A8" s="59" t="s">
        <v>7</v>
      </c>
      <c r="B8" s="59" t="s">
        <v>8</v>
      </c>
      <c r="C8" s="165" t="s">
        <v>116</v>
      </c>
      <c r="D8" s="165"/>
    </row>
    <row r="9" spans="1:4" ht="11.25">
      <c r="A9" s="59" t="s">
        <v>9</v>
      </c>
      <c r="B9" s="59" t="s">
        <v>10</v>
      </c>
      <c r="C9" s="165" t="s">
        <v>116</v>
      </c>
      <c r="D9" s="165"/>
    </row>
    <row r="10" spans="1:7" ht="11.25">
      <c r="A10" s="59" t="s">
        <v>11</v>
      </c>
      <c r="B10" s="59" t="s">
        <v>12</v>
      </c>
      <c r="C10" s="165" t="s">
        <v>116</v>
      </c>
      <c r="D10" s="165"/>
      <c r="G10" s="50" t="s">
        <v>124</v>
      </c>
    </row>
    <row r="11" spans="1:7" ht="11.25">
      <c r="A11" s="59" t="s">
        <v>13</v>
      </c>
      <c r="B11" s="59" t="s">
        <v>123</v>
      </c>
      <c r="C11" s="165" t="s">
        <v>116</v>
      </c>
      <c r="D11" s="165"/>
      <c r="G11" s="50" t="s">
        <v>156</v>
      </c>
    </row>
    <row r="12" spans="1:4" ht="11.25">
      <c r="A12" s="59" t="s">
        <v>14</v>
      </c>
      <c r="B12" s="59" t="s">
        <v>15</v>
      </c>
      <c r="C12" s="165" t="s">
        <v>116</v>
      </c>
      <c r="D12" s="165"/>
    </row>
    <row r="13" spans="1:4" ht="11.25">
      <c r="A13" s="58"/>
      <c r="B13" s="58" t="s">
        <v>19</v>
      </c>
      <c r="C13" s="154">
        <f>SUM(C7:D12)</f>
        <v>1538.62</v>
      </c>
      <c r="D13" s="154"/>
    </row>
    <row r="14" spans="1:4" ht="11.25">
      <c r="A14" s="55"/>
      <c r="B14" s="55"/>
      <c r="C14" s="55"/>
      <c r="D14" s="55"/>
    </row>
    <row r="15" spans="1:4" ht="11.25">
      <c r="A15" s="56" t="s">
        <v>20</v>
      </c>
      <c r="B15" s="56"/>
      <c r="C15" s="55"/>
      <c r="D15" s="55"/>
    </row>
    <row r="16" spans="1:5" ht="12" thickBot="1">
      <c r="A16" s="55"/>
      <c r="B16" s="53"/>
      <c r="C16" s="55"/>
      <c r="D16" s="55"/>
      <c r="E16" s="60" t="s">
        <v>155</v>
      </c>
    </row>
    <row r="17" spans="1:6" ht="11.25">
      <c r="A17" s="2">
        <v>2</v>
      </c>
      <c r="B17" s="59" t="s">
        <v>21</v>
      </c>
      <c r="C17" s="161" t="s">
        <v>4</v>
      </c>
      <c r="D17" s="162"/>
      <c r="E17" s="61" t="s">
        <v>128</v>
      </c>
      <c r="F17" s="62">
        <v>22</v>
      </c>
    </row>
    <row r="18" spans="1:7" ht="11.25">
      <c r="A18" s="59" t="s">
        <v>5</v>
      </c>
      <c r="B18" s="59" t="s">
        <v>22</v>
      </c>
      <c r="C18" s="163">
        <f>(8.55*2*F17)-(F18*C7)</f>
        <v>283.8828000000001</v>
      </c>
      <c r="D18" s="164"/>
      <c r="E18" s="63" t="s">
        <v>129</v>
      </c>
      <c r="F18" s="64">
        <v>0.06</v>
      </c>
      <c r="G18" s="50" t="s">
        <v>126</v>
      </c>
    </row>
    <row r="19" spans="1:7" ht="11.25">
      <c r="A19" s="59" t="s">
        <v>7</v>
      </c>
      <c r="B19" s="65" t="s">
        <v>23</v>
      </c>
      <c r="C19" s="163">
        <f>17.71*F17*F19</f>
        <v>389.62</v>
      </c>
      <c r="D19" s="164"/>
      <c r="E19" s="63" t="s">
        <v>130</v>
      </c>
      <c r="F19" s="64">
        <v>1</v>
      </c>
      <c r="G19" s="50" t="s">
        <v>125</v>
      </c>
    </row>
    <row r="20" spans="1:7" ht="12" thickBot="1">
      <c r="A20" s="59" t="s">
        <v>9</v>
      </c>
      <c r="B20" s="59" t="s">
        <v>121</v>
      </c>
      <c r="C20" s="165">
        <v>0</v>
      </c>
      <c r="D20" s="165"/>
      <c r="E20" s="66" t="s">
        <v>239</v>
      </c>
      <c r="F20" s="67">
        <v>1</v>
      </c>
      <c r="G20" s="50" t="s">
        <v>125</v>
      </c>
    </row>
    <row r="21" spans="1:7" ht="11.25">
      <c r="A21" s="59" t="s">
        <v>11</v>
      </c>
      <c r="B21" s="59" t="s">
        <v>122</v>
      </c>
      <c r="C21" s="166">
        <v>0</v>
      </c>
      <c r="D21" s="167"/>
      <c r="G21" s="50" t="s">
        <v>125</v>
      </c>
    </row>
    <row r="22" spans="1:7" ht="11.25">
      <c r="A22" s="59" t="s">
        <v>13</v>
      </c>
      <c r="B22" s="59" t="s">
        <v>120</v>
      </c>
      <c r="C22" s="166">
        <v>0</v>
      </c>
      <c r="D22" s="167"/>
      <c r="G22" s="50" t="s">
        <v>125</v>
      </c>
    </row>
    <row r="23" spans="1:7" ht="11.25">
      <c r="A23" s="59" t="s">
        <v>14</v>
      </c>
      <c r="B23" s="59" t="s">
        <v>127</v>
      </c>
      <c r="C23" s="166">
        <v>0</v>
      </c>
      <c r="D23" s="167"/>
      <c r="G23" s="50" t="s">
        <v>125</v>
      </c>
    </row>
    <row r="24" spans="1:4" ht="11.25">
      <c r="A24" s="59" t="s">
        <v>16</v>
      </c>
      <c r="B24" s="59" t="s">
        <v>18</v>
      </c>
      <c r="C24" s="168">
        <v>0</v>
      </c>
      <c r="D24" s="169"/>
    </row>
    <row r="25" spans="1:4" ht="11.25">
      <c r="A25" s="59"/>
      <c r="B25" s="58" t="s">
        <v>24</v>
      </c>
      <c r="C25" s="154">
        <f>SUM(C18:C24)</f>
        <v>673.5028000000001</v>
      </c>
      <c r="D25" s="154"/>
    </row>
    <row r="26" spans="1:4" ht="11.25">
      <c r="A26" s="55"/>
      <c r="B26" s="55"/>
      <c r="C26" s="55"/>
      <c r="D26" s="55"/>
    </row>
    <row r="27" spans="1:4" ht="11.25">
      <c r="A27" s="159" t="s">
        <v>25</v>
      </c>
      <c r="B27" s="159"/>
      <c r="C27" s="55"/>
      <c r="D27" s="55"/>
    </row>
    <row r="28" spans="1:4" ht="11.25">
      <c r="A28" s="55"/>
      <c r="B28" s="53"/>
      <c r="C28" s="55"/>
      <c r="D28" s="55"/>
    </row>
    <row r="29" spans="1:4" ht="11.25">
      <c r="A29" s="2">
        <v>3</v>
      </c>
      <c r="B29" s="59" t="s">
        <v>26</v>
      </c>
      <c r="C29" s="161" t="s">
        <v>4</v>
      </c>
      <c r="D29" s="161"/>
    </row>
    <row r="30" spans="1:7" ht="11.25">
      <c r="A30" s="59" t="s">
        <v>5</v>
      </c>
      <c r="B30" s="59" t="s">
        <v>27</v>
      </c>
      <c r="C30" s="160">
        <v>0</v>
      </c>
      <c r="D30" s="160"/>
      <c r="G30" s="50" t="s">
        <v>157</v>
      </c>
    </row>
    <row r="31" spans="1:7" ht="11.25">
      <c r="A31" s="59" t="s">
        <v>7</v>
      </c>
      <c r="B31" s="59" t="s">
        <v>28</v>
      </c>
      <c r="C31" s="160">
        <v>0</v>
      </c>
      <c r="D31" s="160"/>
      <c r="G31" s="50" t="s">
        <v>157</v>
      </c>
    </row>
    <row r="32" spans="1:7" ht="11.25">
      <c r="A32" s="59" t="s">
        <v>9</v>
      </c>
      <c r="B32" s="59" t="s">
        <v>242</v>
      </c>
      <c r="C32" s="160">
        <f>Insumos!H7/40</f>
        <v>0.5252172343333333</v>
      </c>
      <c r="D32" s="160"/>
      <c r="G32" s="50" t="s">
        <v>157</v>
      </c>
    </row>
    <row r="33" spans="1:4" ht="11.25">
      <c r="A33" s="59" t="s">
        <v>11</v>
      </c>
      <c r="B33" s="59" t="s">
        <v>18</v>
      </c>
      <c r="C33" s="160">
        <v>0</v>
      </c>
      <c r="D33" s="160"/>
    </row>
    <row r="34" spans="1:4" ht="11.25">
      <c r="A34" s="153" t="s">
        <v>29</v>
      </c>
      <c r="B34" s="153"/>
      <c r="C34" s="154">
        <f>C30</f>
        <v>0</v>
      </c>
      <c r="D34" s="154"/>
    </row>
    <row r="35" spans="1:4" ht="11.25">
      <c r="A35" s="55"/>
      <c r="B35" s="55"/>
      <c r="C35" s="55"/>
      <c r="D35" s="55"/>
    </row>
    <row r="36" spans="1:4" ht="11.25">
      <c r="A36" s="56" t="s">
        <v>30</v>
      </c>
      <c r="B36" s="56"/>
      <c r="C36" s="55"/>
      <c r="D36" s="55"/>
    </row>
    <row r="37" spans="1:4" ht="11.25">
      <c r="A37" s="55"/>
      <c r="B37" s="55"/>
      <c r="C37" s="55"/>
      <c r="D37" s="55"/>
    </row>
    <row r="38" spans="1:4" ht="11.25">
      <c r="A38" s="56" t="s">
        <v>31</v>
      </c>
      <c r="B38" s="56"/>
      <c r="C38" s="55"/>
      <c r="D38" s="55"/>
    </row>
    <row r="39" spans="1:4" ht="11.25">
      <c r="A39" s="55"/>
      <c r="B39" s="53"/>
      <c r="C39" s="55"/>
      <c r="D39" s="55"/>
    </row>
    <row r="40" spans="1:4" ht="11.25">
      <c r="A40" s="58" t="s">
        <v>32</v>
      </c>
      <c r="B40" s="58" t="s">
        <v>33</v>
      </c>
      <c r="C40" s="68" t="s">
        <v>34</v>
      </c>
      <c r="D40" s="58" t="s">
        <v>4</v>
      </c>
    </row>
    <row r="41" spans="1:7" ht="11.25">
      <c r="A41" s="59" t="s">
        <v>5</v>
      </c>
      <c r="B41" s="59" t="s">
        <v>35</v>
      </c>
      <c r="C41" s="69">
        <v>0.2</v>
      </c>
      <c r="D41" s="70">
        <f>C41*C13</f>
        <v>307.724</v>
      </c>
      <c r="G41" s="50" t="s">
        <v>102</v>
      </c>
    </row>
    <row r="42" spans="1:7" ht="11.25">
      <c r="A42" s="59" t="s">
        <v>13</v>
      </c>
      <c r="B42" s="59" t="s">
        <v>36</v>
      </c>
      <c r="C42" s="71">
        <v>0.025</v>
      </c>
      <c r="D42" s="70">
        <f>C42*C13</f>
        <v>38.4655</v>
      </c>
      <c r="G42" s="50" t="s">
        <v>103</v>
      </c>
    </row>
    <row r="43" spans="1:7" ht="11.25">
      <c r="A43" s="59" t="s">
        <v>17</v>
      </c>
      <c r="B43" s="59" t="s">
        <v>37</v>
      </c>
      <c r="C43" s="69">
        <v>0.006</v>
      </c>
      <c r="D43" s="70">
        <f>C43*C13</f>
        <v>9.23172</v>
      </c>
      <c r="G43" s="50" t="s">
        <v>104</v>
      </c>
    </row>
    <row r="44" spans="1:7" ht="11.25">
      <c r="A44" s="59" t="s">
        <v>7</v>
      </c>
      <c r="B44" s="59" t="s">
        <v>38</v>
      </c>
      <c r="C44" s="69">
        <v>0.015</v>
      </c>
      <c r="D44" s="70">
        <f>C44*C13</f>
        <v>23.079299999999996</v>
      </c>
      <c r="G44" s="50" t="s">
        <v>105</v>
      </c>
    </row>
    <row r="45" spans="1:7" ht="11.25">
      <c r="A45" s="59" t="s">
        <v>9</v>
      </c>
      <c r="B45" s="59" t="s">
        <v>39</v>
      </c>
      <c r="C45" s="69">
        <v>0.01</v>
      </c>
      <c r="D45" s="70">
        <f>C45*C13</f>
        <v>15.386199999999999</v>
      </c>
      <c r="G45" s="50" t="s">
        <v>106</v>
      </c>
    </row>
    <row r="46" spans="1:7" ht="11.25">
      <c r="A46" s="59" t="s">
        <v>11</v>
      </c>
      <c r="B46" s="59" t="s">
        <v>40</v>
      </c>
      <c r="C46" s="69">
        <v>0.002</v>
      </c>
      <c r="D46" s="70">
        <f>C46*C13</f>
        <v>3.0772399999999998</v>
      </c>
      <c r="G46" s="50" t="s">
        <v>107</v>
      </c>
    </row>
    <row r="47" spans="1:7" ht="11.25">
      <c r="A47" s="59" t="s">
        <v>14</v>
      </c>
      <c r="B47" s="59" t="s">
        <v>41</v>
      </c>
      <c r="C47" s="69">
        <v>0.08</v>
      </c>
      <c r="D47" s="70">
        <f>C47*C13</f>
        <v>123.08959999999999</v>
      </c>
      <c r="G47" s="50" t="s">
        <v>108</v>
      </c>
    </row>
    <row r="48" spans="1:7" ht="11.25">
      <c r="A48" s="59" t="s">
        <v>16</v>
      </c>
      <c r="B48" s="59" t="s">
        <v>117</v>
      </c>
      <c r="C48" s="69">
        <v>0.06</v>
      </c>
      <c r="D48" s="70">
        <f>C48*C13</f>
        <v>92.31719999999999</v>
      </c>
      <c r="G48" s="50" t="s">
        <v>109</v>
      </c>
    </row>
    <row r="49" spans="1:4" ht="11.25">
      <c r="A49" s="153" t="s">
        <v>42</v>
      </c>
      <c r="B49" s="153"/>
      <c r="C49" s="72">
        <f>SUM(C41:C48)</f>
        <v>0.398</v>
      </c>
      <c r="D49" s="73">
        <f>SUM(D41:D48)</f>
        <v>612.3707599999999</v>
      </c>
    </row>
    <row r="50" spans="1:4" ht="11.25">
      <c r="A50" s="55"/>
      <c r="B50" s="55"/>
      <c r="C50" s="55"/>
      <c r="D50" s="55"/>
    </row>
    <row r="51" spans="1:4" ht="11.25">
      <c r="A51" s="56" t="s">
        <v>43</v>
      </c>
      <c r="B51" s="56"/>
      <c r="C51" s="55"/>
      <c r="D51" s="55"/>
    </row>
    <row r="52" spans="1:4" ht="11.25">
      <c r="A52" s="55"/>
      <c r="B52" s="53"/>
      <c r="C52" s="55"/>
      <c r="D52" s="55"/>
    </row>
    <row r="53" spans="1:4" ht="11.25">
      <c r="A53" s="58" t="s">
        <v>44</v>
      </c>
      <c r="B53" s="57" t="s">
        <v>45</v>
      </c>
      <c r="C53" s="68" t="s">
        <v>34</v>
      </c>
      <c r="D53" s="58" t="s">
        <v>4</v>
      </c>
    </row>
    <row r="54" spans="1:7" ht="11.25">
      <c r="A54" s="59" t="s">
        <v>5</v>
      </c>
      <c r="B54" s="2" t="s">
        <v>46</v>
      </c>
      <c r="C54" s="69">
        <f>1/12</f>
        <v>0.08333333333333333</v>
      </c>
      <c r="D54" s="70">
        <f>C13*C54</f>
        <v>128.2183333333333</v>
      </c>
      <c r="G54" s="50" t="s">
        <v>110</v>
      </c>
    </row>
    <row r="55" spans="1:7" ht="11.25">
      <c r="A55" s="59" t="s">
        <v>7</v>
      </c>
      <c r="B55" s="2" t="s">
        <v>47</v>
      </c>
      <c r="C55" s="74">
        <f>1/3/12</f>
        <v>0.027777777777777776</v>
      </c>
      <c r="D55" s="70">
        <f>C55*C13</f>
        <v>42.73944444444444</v>
      </c>
      <c r="G55" s="50" t="s">
        <v>111</v>
      </c>
    </row>
    <row r="56" spans="1:4" ht="11.25">
      <c r="A56" s="153" t="s">
        <v>48</v>
      </c>
      <c r="B56" s="153"/>
      <c r="C56" s="75">
        <f>SUM(C54:C55)</f>
        <v>0.1111111111111111</v>
      </c>
      <c r="D56" s="73">
        <f>SUM(D54:D55)</f>
        <v>170.95777777777775</v>
      </c>
    </row>
    <row r="57" spans="1:4" ht="11.25">
      <c r="A57" s="59" t="s">
        <v>9</v>
      </c>
      <c r="B57" s="2" t="s">
        <v>49</v>
      </c>
      <c r="C57" s="69">
        <f>C49*C56</f>
        <v>0.044222222222222225</v>
      </c>
      <c r="D57" s="70">
        <f>C49*D56</f>
        <v>68.04119555555555</v>
      </c>
    </row>
    <row r="58" spans="1:7" ht="11.25">
      <c r="A58" s="153" t="s">
        <v>42</v>
      </c>
      <c r="B58" s="153"/>
      <c r="C58" s="75">
        <f>SUM(C56:C57)</f>
        <v>0.15533333333333332</v>
      </c>
      <c r="D58" s="73">
        <f>SUM(D56:D57)</f>
        <v>238.9989733333333</v>
      </c>
      <c r="G58" s="76"/>
    </row>
    <row r="59" spans="1:4" ht="11.25">
      <c r="A59" s="55"/>
      <c r="B59" s="55"/>
      <c r="C59" s="55"/>
      <c r="D59" s="55"/>
    </row>
    <row r="60" spans="1:4" ht="11.25">
      <c r="A60" s="56" t="s">
        <v>50</v>
      </c>
      <c r="B60" s="55"/>
      <c r="C60" s="55"/>
      <c r="D60" s="55"/>
    </row>
    <row r="61" spans="1:4" ht="11.25">
      <c r="A61" s="55"/>
      <c r="B61" s="53"/>
      <c r="C61" s="55"/>
      <c r="D61" s="55"/>
    </row>
    <row r="62" spans="1:4" ht="11.25">
      <c r="A62" s="58" t="s">
        <v>51</v>
      </c>
      <c r="B62" s="57" t="s">
        <v>52</v>
      </c>
      <c r="C62" s="68" t="s">
        <v>34</v>
      </c>
      <c r="D62" s="58" t="s">
        <v>4</v>
      </c>
    </row>
    <row r="63" spans="1:8" ht="11.25">
      <c r="A63" s="59" t="s">
        <v>5</v>
      </c>
      <c r="B63" s="2" t="s">
        <v>53</v>
      </c>
      <c r="C63" s="77">
        <f>4/3*4/12/12*F63</f>
        <v>0.0007407407407407407</v>
      </c>
      <c r="D63" s="70">
        <f>C63*C13</f>
        <v>1.1397185185185184</v>
      </c>
      <c r="E63" s="51" t="s">
        <v>131</v>
      </c>
      <c r="F63" s="78">
        <v>0.02</v>
      </c>
      <c r="G63" s="50" t="s">
        <v>112</v>
      </c>
      <c r="H63" s="79"/>
    </row>
    <row r="64" spans="1:7" ht="22.5">
      <c r="A64" s="59" t="s">
        <v>7</v>
      </c>
      <c r="B64" s="3" t="s">
        <v>151</v>
      </c>
      <c r="C64" s="77">
        <f>4*F63/12</f>
        <v>0.006666666666666667</v>
      </c>
      <c r="D64" s="70">
        <f>SUM(C20:D24)*C64</f>
        <v>0</v>
      </c>
      <c r="G64" s="55" t="s">
        <v>150</v>
      </c>
    </row>
    <row r="65" spans="1:7" ht="22.5">
      <c r="A65" s="59" t="s">
        <v>9</v>
      </c>
      <c r="B65" s="4" t="s">
        <v>148</v>
      </c>
      <c r="C65" s="77">
        <f>((4+1/3+1/3)/12)*C49*F63</f>
        <v>0.0030955555555555554</v>
      </c>
      <c r="D65" s="70">
        <f>C13*C65</f>
        <v>4.762883688888889</v>
      </c>
      <c r="G65" s="55" t="s">
        <v>149</v>
      </c>
    </row>
    <row r="66" spans="1:4" ht="11.25">
      <c r="A66" s="153" t="s">
        <v>42</v>
      </c>
      <c r="B66" s="153"/>
      <c r="C66" s="80">
        <f>SUM(C63:C65)</f>
        <v>0.010502962962962964</v>
      </c>
      <c r="D66" s="73">
        <f>SUM(D63:D65)</f>
        <v>5.902602207407407</v>
      </c>
    </row>
    <row r="67" spans="1:4" ht="11.25">
      <c r="A67" s="55"/>
      <c r="B67" s="55"/>
      <c r="C67" s="55"/>
      <c r="D67" s="55"/>
    </row>
    <row r="68" spans="1:4" ht="11.25">
      <c r="A68" s="56" t="s">
        <v>54</v>
      </c>
      <c r="B68" s="55"/>
      <c r="C68" s="55"/>
      <c r="D68" s="55"/>
    </row>
    <row r="69" spans="1:4" ht="11.25">
      <c r="A69" s="55"/>
      <c r="B69" s="53"/>
      <c r="C69" s="55"/>
      <c r="D69" s="55"/>
    </row>
    <row r="70" spans="1:7" s="56" customFormat="1" ht="11.25">
      <c r="A70" s="58" t="s">
        <v>55</v>
      </c>
      <c r="B70" s="57" t="s">
        <v>56</v>
      </c>
      <c r="C70" s="68" t="s">
        <v>34</v>
      </c>
      <c r="D70" s="58" t="s">
        <v>4</v>
      </c>
      <c r="E70" s="51"/>
      <c r="F70" s="51"/>
      <c r="G70" s="50"/>
    </row>
    <row r="71" spans="1:7" ht="21">
      <c r="A71" s="59" t="s">
        <v>5</v>
      </c>
      <c r="B71" s="81" t="s">
        <v>57</v>
      </c>
      <c r="C71" s="77">
        <f>(1/12*1.5+1/30*3/12)*5%</f>
        <v>0.006666666666666667</v>
      </c>
      <c r="D71" s="70">
        <f>C71*C13</f>
        <v>10.257466666666666</v>
      </c>
      <c r="E71" s="51" t="s">
        <v>132</v>
      </c>
      <c r="F71" s="78">
        <v>0.05</v>
      </c>
      <c r="G71" s="50" t="s">
        <v>152</v>
      </c>
    </row>
    <row r="72" spans="1:4" ht="11.25">
      <c r="A72" s="59" t="s">
        <v>7</v>
      </c>
      <c r="B72" s="2" t="s">
        <v>58</v>
      </c>
      <c r="C72" s="77">
        <f>C47*C71</f>
        <v>0.0005333333333333334</v>
      </c>
      <c r="D72" s="70">
        <f>C72*C13</f>
        <v>0.8205973333333333</v>
      </c>
    </row>
    <row r="73" spans="1:7" ht="11.25">
      <c r="A73" s="59" t="s">
        <v>59</v>
      </c>
      <c r="B73" s="81" t="s">
        <v>60</v>
      </c>
      <c r="C73" s="77">
        <f>0.4*C47</f>
        <v>0.032</v>
      </c>
      <c r="D73" s="82">
        <f>C73*C13</f>
        <v>49.235839999999996</v>
      </c>
      <c r="G73" s="50" t="s">
        <v>113</v>
      </c>
    </row>
    <row r="74" spans="1:7" ht="11.25">
      <c r="A74" s="59" t="s">
        <v>61</v>
      </c>
      <c r="B74" s="81" t="s">
        <v>62</v>
      </c>
      <c r="C74" s="77">
        <f>C47*10%</f>
        <v>0.008</v>
      </c>
      <c r="D74" s="82">
        <f>C74*C13</f>
        <v>12.308959999999999</v>
      </c>
      <c r="G74" s="50" t="s">
        <v>114</v>
      </c>
    </row>
    <row r="75" spans="1:7" ht="21">
      <c r="A75" s="59" t="s">
        <v>11</v>
      </c>
      <c r="B75" s="81" t="s">
        <v>241</v>
      </c>
      <c r="C75" s="77">
        <f>7/30/12*100%</f>
        <v>0.019444444444444445</v>
      </c>
      <c r="D75" s="82">
        <f>C75*C13</f>
        <v>29.91761111111111</v>
      </c>
      <c r="E75" s="51" t="s">
        <v>133</v>
      </c>
      <c r="F75" s="78">
        <v>1</v>
      </c>
      <c r="G75" s="50" t="s">
        <v>115</v>
      </c>
    </row>
    <row r="76" spans="1:4" ht="11.25">
      <c r="A76" s="59" t="s">
        <v>13</v>
      </c>
      <c r="B76" s="81" t="s">
        <v>63</v>
      </c>
      <c r="C76" s="77">
        <f>C49*C75</f>
        <v>0.00773888888888889</v>
      </c>
      <c r="D76" s="70">
        <f>C76*C13</f>
        <v>11.907209222222223</v>
      </c>
    </row>
    <row r="77" spans="1:4" ht="11.25">
      <c r="A77" s="153" t="s">
        <v>42</v>
      </c>
      <c r="B77" s="153"/>
      <c r="C77" s="80">
        <f>SUM(C71:C76)</f>
        <v>0.07438333333333334</v>
      </c>
      <c r="D77" s="83">
        <f>SUM(D71:D76)</f>
        <v>114.44768433333333</v>
      </c>
    </row>
    <row r="78" spans="1:4" ht="11.25">
      <c r="A78" s="55"/>
      <c r="B78" s="55"/>
      <c r="C78" s="55"/>
      <c r="D78" s="55"/>
    </row>
    <row r="79" spans="1:7" ht="11.25">
      <c r="A79" s="56" t="s">
        <v>64</v>
      </c>
      <c r="B79" s="55"/>
      <c r="C79" s="55"/>
      <c r="D79" s="55"/>
      <c r="G79" s="84"/>
    </row>
    <row r="80" spans="1:4" ht="11.25">
      <c r="A80" s="55"/>
      <c r="B80" s="53"/>
      <c r="C80" s="55"/>
      <c r="D80" s="55"/>
    </row>
    <row r="81" spans="1:7" ht="11.25">
      <c r="A81" s="58" t="s">
        <v>65</v>
      </c>
      <c r="B81" s="58" t="s">
        <v>66</v>
      </c>
      <c r="C81" s="68" t="s">
        <v>34</v>
      </c>
      <c r="D81" s="58" t="s">
        <v>4</v>
      </c>
      <c r="E81" s="51" t="s">
        <v>137</v>
      </c>
      <c r="F81" s="85">
        <f>((C13+D94+D95+D96+D97)/30)/C13</f>
        <v>0.05438509876543208</v>
      </c>
      <c r="G81" s="50" t="s">
        <v>138</v>
      </c>
    </row>
    <row r="82" spans="1:7" ht="11.25">
      <c r="A82" s="59" t="s">
        <v>5</v>
      </c>
      <c r="B82" s="2" t="s">
        <v>67</v>
      </c>
      <c r="C82" s="77">
        <f>F81*F82/12</f>
        <v>0.10197206018518513</v>
      </c>
      <c r="D82" s="70">
        <f>C82*C13</f>
        <v>156.89625124212955</v>
      </c>
      <c r="E82" s="85" t="s">
        <v>143</v>
      </c>
      <c r="F82" s="51">
        <f>30*9/12</f>
        <v>22.5</v>
      </c>
      <c r="G82" s="50" t="s">
        <v>153</v>
      </c>
    </row>
    <row r="83" spans="1:7" ht="11.25">
      <c r="A83" s="59" t="s">
        <v>7</v>
      </c>
      <c r="B83" s="2" t="s">
        <v>68</v>
      </c>
      <c r="C83" s="77">
        <f>F81*F83*F83/360</f>
        <v>0.0037767429698216727</v>
      </c>
      <c r="D83" s="70">
        <f>C83*C13</f>
        <v>5.8109722682270215</v>
      </c>
      <c r="E83" s="51" t="s">
        <v>139</v>
      </c>
      <c r="F83" s="51">
        <v>5</v>
      </c>
      <c r="G83" s="50" t="s">
        <v>142</v>
      </c>
    </row>
    <row r="84" spans="1:7" ht="11.25">
      <c r="A84" s="59" t="s">
        <v>9</v>
      </c>
      <c r="B84" s="2" t="s">
        <v>69</v>
      </c>
      <c r="C84" s="77">
        <f>5*F81*1%</f>
        <v>0.002719254938271604</v>
      </c>
      <c r="D84" s="70">
        <f>C84*C13</f>
        <v>4.1839000331234555</v>
      </c>
      <c r="E84" s="51" t="s">
        <v>154</v>
      </c>
      <c r="F84" s="85">
        <f>F83/360</f>
        <v>0.013888888888888888</v>
      </c>
      <c r="G84" s="50" t="s">
        <v>146</v>
      </c>
    </row>
    <row r="85" spans="1:7" ht="11.25">
      <c r="A85" s="59" t="s">
        <v>11</v>
      </c>
      <c r="B85" s="2" t="s">
        <v>70</v>
      </c>
      <c r="C85" s="77">
        <f>F86*F87*F81</f>
        <v>0.00024322224725651571</v>
      </c>
      <c r="D85" s="70">
        <f>C85*C13</f>
        <v>0.3742266140738202</v>
      </c>
      <c r="E85" s="51" t="s">
        <v>140</v>
      </c>
      <c r="F85" s="86">
        <v>0.01</v>
      </c>
      <c r="G85" s="50" t="s">
        <v>147</v>
      </c>
    </row>
    <row r="86" spans="1:7" ht="11.25">
      <c r="A86" s="59" t="s">
        <v>13</v>
      </c>
      <c r="B86" s="2" t="s">
        <v>71</v>
      </c>
      <c r="C86" s="77">
        <f>15/30/12*F88*F81</f>
        <v>0.00018128366255144024</v>
      </c>
      <c r="D86" s="70">
        <f>C86*C13</f>
        <v>0.278926668874897</v>
      </c>
      <c r="E86" s="51" t="s">
        <v>144</v>
      </c>
      <c r="F86" s="51">
        <v>7</v>
      </c>
      <c r="G86" s="50" t="s">
        <v>245</v>
      </c>
    </row>
    <row r="87" spans="1:6" ht="21">
      <c r="A87" s="153" t="s">
        <v>48</v>
      </c>
      <c r="B87" s="153"/>
      <c r="C87" s="80">
        <f>SUM(C82:C86)</f>
        <v>0.10889256400308636</v>
      </c>
      <c r="D87" s="73">
        <f>SUM(D82:D86)</f>
        <v>167.54427682642876</v>
      </c>
      <c r="E87" s="51" t="s">
        <v>145</v>
      </c>
      <c r="F87" s="85">
        <f>(3*5%+2*2%+1*2%+1*2%)/360</f>
        <v>0.0006388888888888889</v>
      </c>
    </row>
    <row r="88" spans="1:6" ht="11.25">
      <c r="A88" s="59" t="s">
        <v>16</v>
      </c>
      <c r="B88" s="2" t="s">
        <v>72</v>
      </c>
      <c r="C88" s="77">
        <f>C49*C87</f>
        <v>0.043339240473228374</v>
      </c>
      <c r="D88" s="70">
        <f>D87*C49</f>
        <v>66.68262217691864</v>
      </c>
      <c r="E88" s="51" t="s">
        <v>141</v>
      </c>
      <c r="F88" s="86">
        <v>0.08</v>
      </c>
    </row>
    <row r="89" spans="1:4" ht="11.25">
      <c r="A89" s="153" t="s">
        <v>42</v>
      </c>
      <c r="B89" s="152"/>
      <c r="C89" s="80">
        <f>SUM(C87:C88)</f>
        <v>0.15223180447631474</v>
      </c>
      <c r="D89" s="73">
        <f>SUM(D87:D88)</f>
        <v>234.2268990033474</v>
      </c>
    </row>
    <row r="90" spans="1:4" ht="11.25">
      <c r="A90" s="55"/>
      <c r="B90" s="55"/>
      <c r="C90" s="55"/>
      <c r="D90" s="55"/>
    </row>
    <row r="91" spans="1:4" ht="11.25">
      <c r="A91" s="56" t="s">
        <v>73</v>
      </c>
      <c r="B91" s="55"/>
      <c r="C91" s="55"/>
      <c r="D91" s="55"/>
    </row>
    <row r="92" spans="1:9" ht="11.25">
      <c r="A92" s="55"/>
      <c r="B92" s="53"/>
      <c r="C92" s="55"/>
      <c r="D92" s="55"/>
      <c r="H92" s="56"/>
      <c r="I92" s="56"/>
    </row>
    <row r="93" spans="1:9" s="56" customFormat="1" ht="11.25">
      <c r="A93" s="57">
        <v>4</v>
      </c>
      <c r="B93" s="57" t="s">
        <v>74</v>
      </c>
      <c r="C93" s="68" t="s">
        <v>34</v>
      </c>
      <c r="D93" s="58" t="s">
        <v>4</v>
      </c>
      <c r="E93" s="51"/>
      <c r="F93" s="51"/>
      <c r="G93" s="50"/>
      <c r="H93" s="8"/>
      <c r="I93" s="8"/>
    </row>
    <row r="94" spans="1:4" ht="11.25">
      <c r="A94" s="59" t="s">
        <v>32</v>
      </c>
      <c r="B94" s="2" t="s">
        <v>75</v>
      </c>
      <c r="C94" s="77">
        <f>C58</f>
        <v>0.15533333333333332</v>
      </c>
      <c r="D94" s="70">
        <f>D58</f>
        <v>238.9989733333333</v>
      </c>
    </row>
    <row r="95" spans="1:4" ht="11.25">
      <c r="A95" s="59" t="s">
        <v>44</v>
      </c>
      <c r="B95" s="2" t="s">
        <v>33</v>
      </c>
      <c r="C95" s="77">
        <f>C49</f>
        <v>0.398</v>
      </c>
      <c r="D95" s="70">
        <f>D49</f>
        <v>612.3707599999999</v>
      </c>
    </row>
    <row r="96" spans="1:4" ht="11.25">
      <c r="A96" s="59" t="s">
        <v>51</v>
      </c>
      <c r="B96" s="2" t="s">
        <v>76</v>
      </c>
      <c r="C96" s="77">
        <f>C66</f>
        <v>0.010502962962962964</v>
      </c>
      <c r="D96" s="70">
        <f>D66</f>
        <v>5.902602207407407</v>
      </c>
    </row>
    <row r="97" spans="1:4" ht="11.25">
      <c r="A97" s="59" t="s">
        <v>55</v>
      </c>
      <c r="B97" s="2" t="s">
        <v>77</v>
      </c>
      <c r="C97" s="77">
        <f>C77</f>
        <v>0.07438333333333334</v>
      </c>
      <c r="D97" s="70">
        <f>D77</f>
        <v>114.44768433333333</v>
      </c>
    </row>
    <row r="98" spans="1:4" ht="11.25">
      <c r="A98" s="59" t="s">
        <v>65</v>
      </c>
      <c r="B98" s="2" t="s">
        <v>78</v>
      </c>
      <c r="C98" s="77">
        <f>C89</f>
        <v>0.15223180447631474</v>
      </c>
      <c r="D98" s="70">
        <f>D89</f>
        <v>234.2268990033474</v>
      </c>
    </row>
    <row r="99" spans="1:4" ht="11.25">
      <c r="A99" s="59" t="s">
        <v>79</v>
      </c>
      <c r="B99" s="2" t="s">
        <v>18</v>
      </c>
      <c r="C99" s="77">
        <f>C90</f>
        <v>0</v>
      </c>
      <c r="D99" s="70">
        <v>0</v>
      </c>
    </row>
    <row r="100" spans="1:4" ht="11.25">
      <c r="A100" s="155" t="s">
        <v>42</v>
      </c>
      <c r="B100" s="136"/>
      <c r="C100" s="80">
        <f>SUM(C94:C99)</f>
        <v>0.7904514341059443</v>
      </c>
      <c r="D100" s="73">
        <f>SUM(D94:D99)</f>
        <v>1205.9469188774215</v>
      </c>
    </row>
    <row r="101" spans="1:4" ht="11.25">
      <c r="A101" s="55"/>
      <c r="B101" s="55"/>
      <c r="C101" s="55"/>
      <c r="D101" s="55"/>
    </row>
    <row r="102" spans="1:4" ht="11.25">
      <c r="A102" s="156" t="s">
        <v>80</v>
      </c>
      <c r="B102" s="157"/>
      <c r="C102" s="158"/>
      <c r="D102" s="73">
        <f>D100+C34+C25+C13</f>
        <v>3418.0697188774216</v>
      </c>
    </row>
    <row r="103" spans="1:9" ht="11.25">
      <c r="A103" s="55"/>
      <c r="B103" s="55"/>
      <c r="C103" s="55"/>
      <c r="D103" s="55"/>
      <c r="H103" s="56"/>
      <c r="I103" s="56"/>
    </row>
    <row r="104" spans="1:9" s="56" customFormat="1" ht="11.25">
      <c r="A104" s="56" t="s">
        <v>81</v>
      </c>
      <c r="E104" s="51"/>
      <c r="F104" s="51"/>
      <c r="G104" s="50"/>
      <c r="H104" s="8"/>
      <c r="I104" s="8"/>
    </row>
    <row r="105" spans="1:4" ht="11.25">
      <c r="A105" s="55"/>
      <c r="B105" s="53"/>
      <c r="C105" s="55"/>
      <c r="D105" s="55"/>
    </row>
    <row r="106" spans="1:7" ht="11.25">
      <c r="A106" s="57">
        <v>5</v>
      </c>
      <c r="B106" s="58" t="s">
        <v>82</v>
      </c>
      <c r="C106" s="68" t="s">
        <v>34</v>
      </c>
      <c r="D106" s="58" t="s">
        <v>4</v>
      </c>
      <c r="G106" s="50" t="s">
        <v>118</v>
      </c>
    </row>
    <row r="107" spans="1:7" ht="11.25">
      <c r="A107" s="59" t="s">
        <v>5</v>
      </c>
      <c r="B107" s="59" t="s">
        <v>83</v>
      </c>
      <c r="C107" s="69">
        <f>F107</f>
        <v>0.05</v>
      </c>
      <c r="D107" s="70">
        <f>(D100+C34+C25+C13)*C107</f>
        <v>170.9034859438711</v>
      </c>
      <c r="E107" s="51" t="s">
        <v>83</v>
      </c>
      <c r="F107" s="86">
        <v>0.05</v>
      </c>
      <c r="G107" s="50" t="s">
        <v>119</v>
      </c>
    </row>
    <row r="108" spans="1:6" ht="11.25">
      <c r="A108" s="59" t="s">
        <v>7</v>
      </c>
      <c r="B108" s="59" t="s">
        <v>84</v>
      </c>
      <c r="C108" s="69">
        <f>F108</f>
        <v>0.1</v>
      </c>
      <c r="D108" s="70">
        <f>(D100+C34+C25+C13+D107)*C108</f>
        <v>358.8973204821293</v>
      </c>
      <c r="E108" s="51" t="s">
        <v>84</v>
      </c>
      <c r="F108" s="86">
        <v>0.1</v>
      </c>
    </row>
    <row r="109" spans="1:4" ht="11.25">
      <c r="A109" s="59" t="s">
        <v>9</v>
      </c>
      <c r="B109" s="59" t="s">
        <v>85</v>
      </c>
      <c r="C109" s="87"/>
      <c r="D109" s="70"/>
    </row>
    <row r="110" spans="1:6" ht="11.25">
      <c r="A110" s="59"/>
      <c r="B110" s="59" t="s">
        <v>86</v>
      </c>
      <c r="C110" s="88">
        <f>1-(C111+C113)</f>
        <v>0.8574999999999999</v>
      </c>
      <c r="D110" s="70">
        <f>(D100+C34+C25+C13+D107+D108)/C110</f>
        <v>4603.9306417532625</v>
      </c>
      <c r="E110" s="51" t="s">
        <v>134</v>
      </c>
      <c r="F110" s="89">
        <v>0.076</v>
      </c>
    </row>
    <row r="111" spans="1:6" ht="11.25">
      <c r="A111" s="59"/>
      <c r="B111" s="59" t="s">
        <v>87</v>
      </c>
      <c r="C111" s="69">
        <f>F110+F111</f>
        <v>0.0925</v>
      </c>
      <c r="D111" s="90">
        <f>C111*D110</f>
        <v>425.86358436217677</v>
      </c>
      <c r="E111" s="51" t="s">
        <v>135</v>
      </c>
      <c r="F111" s="89">
        <v>0.0165</v>
      </c>
    </row>
    <row r="112" spans="1:4" ht="11.25">
      <c r="A112" s="59"/>
      <c r="B112" s="59" t="s">
        <v>88</v>
      </c>
      <c r="C112" s="87"/>
      <c r="D112" s="70"/>
    </row>
    <row r="113" spans="1:6" ht="11.25">
      <c r="A113" s="59"/>
      <c r="B113" s="59" t="s">
        <v>89</v>
      </c>
      <c r="C113" s="69">
        <f>F113</f>
        <v>0.05</v>
      </c>
      <c r="D113" s="90">
        <f>D110*C113</f>
        <v>230.19653208766314</v>
      </c>
      <c r="E113" s="51" t="s">
        <v>136</v>
      </c>
      <c r="F113" s="86">
        <v>0.05</v>
      </c>
    </row>
    <row r="114" spans="1:4" ht="11.25">
      <c r="A114" s="59"/>
      <c r="B114" s="59" t="s">
        <v>90</v>
      </c>
      <c r="C114" s="87"/>
      <c r="D114" s="70"/>
    </row>
    <row r="115" spans="1:4" ht="11.25">
      <c r="A115" s="153" t="s">
        <v>91</v>
      </c>
      <c r="B115" s="153"/>
      <c r="C115" s="153"/>
      <c r="D115" s="73">
        <f>SUM(D107,D111,D113,D108)</f>
        <v>1185.8609228758403</v>
      </c>
    </row>
    <row r="116" spans="1:4" ht="11.25">
      <c r="A116" s="55"/>
      <c r="B116" s="55"/>
      <c r="C116" s="55"/>
      <c r="D116" s="55"/>
    </row>
    <row r="117" spans="1:4" ht="11.25">
      <c r="A117" s="56" t="s">
        <v>92</v>
      </c>
      <c r="B117" s="55"/>
      <c r="C117" s="55"/>
      <c r="D117" s="55"/>
    </row>
    <row r="118" spans="1:9" ht="11.25">
      <c r="A118" s="55"/>
      <c r="C118" s="55"/>
      <c r="D118" s="55"/>
      <c r="H118" s="56"/>
      <c r="I118" s="56"/>
    </row>
    <row r="119" spans="1:9" s="56" customFormat="1" ht="11.25">
      <c r="A119" s="58"/>
      <c r="B119" s="153" t="s">
        <v>93</v>
      </c>
      <c r="C119" s="153"/>
      <c r="D119" s="68" t="s">
        <v>94</v>
      </c>
      <c r="E119" s="51"/>
      <c r="F119" s="51"/>
      <c r="G119" s="50"/>
      <c r="H119" s="8"/>
      <c r="I119" s="8"/>
    </row>
    <row r="120" spans="1:4" ht="11.25">
      <c r="A120" s="59" t="s">
        <v>5</v>
      </c>
      <c r="B120" s="151" t="s">
        <v>95</v>
      </c>
      <c r="C120" s="151"/>
      <c r="D120" s="91">
        <f>C13</f>
        <v>1538.62</v>
      </c>
    </row>
    <row r="121" spans="1:4" ht="11.25">
      <c r="A121" s="59" t="s">
        <v>7</v>
      </c>
      <c r="B121" s="151" t="s">
        <v>96</v>
      </c>
      <c r="C121" s="151"/>
      <c r="D121" s="91">
        <f>C25</f>
        <v>673.5028000000001</v>
      </c>
    </row>
    <row r="122" spans="1:4" ht="11.25">
      <c r="A122" s="2" t="s">
        <v>9</v>
      </c>
      <c r="B122" s="151" t="s">
        <v>97</v>
      </c>
      <c r="C122" s="152"/>
      <c r="D122" s="91">
        <f>C34</f>
        <v>0</v>
      </c>
    </row>
    <row r="123" spans="1:4" ht="11.25">
      <c r="A123" s="59" t="s">
        <v>11</v>
      </c>
      <c r="B123" s="59" t="s">
        <v>98</v>
      </c>
      <c r="C123" s="74">
        <f>C49+C58+C66+C77+C89</f>
        <v>0.7904514341059443</v>
      </c>
      <c r="D123" s="91">
        <f>D100</f>
        <v>1205.9469188774215</v>
      </c>
    </row>
    <row r="124" spans="1:4" ht="11.25">
      <c r="A124" s="59"/>
      <c r="B124" s="151" t="s">
        <v>99</v>
      </c>
      <c r="C124" s="152"/>
      <c r="D124" s="91">
        <f>SUM(D120:D123)</f>
        <v>3418.0697188774216</v>
      </c>
    </row>
    <row r="125" spans="1:4" ht="11.25">
      <c r="A125" s="59" t="s">
        <v>13</v>
      </c>
      <c r="B125" s="151" t="s">
        <v>100</v>
      </c>
      <c r="C125" s="151"/>
      <c r="D125" s="92">
        <f>SUM(D115)</f>
        <v>1185.8609228758403</v>
      </c>
    </row>
    <row r="126" spans="1:9" ht="11.25">
      <c r="A126" s="153" t="s">
        <v>101</v>
      </c>
      <c r="B126" s="153"/>
      <c r="C126" s="153"/>
      <c r="D126" s="92">
        <f>SUM(D124+D125)</f>
        <v>4603.930641753262</v>
      </c>
      <c r="I126" s="51"/>
    </row>
    <row r="127" spans="1:9" s="51" customFormat="1" ht="11.25">
      <c r="A127" s="55"/>
      <c r="B127" s="55"/>
      <c r="C127" s="55"/>
      <c r="D127" s="55"/>
      <c r="G127" s="50"/>
      <c r="H127" s="8"/>
      <c r="I127" s="8"/>
    </row>
    <row r="132" ht="11.25">
      <c r="I132" s="51"/>
    </row>
    <row r="133" spans="1:8" s="51" customFormat="1" ht="11.25">
      <c r="A133" s="8"/>
      <c r="B133" s="93"/>
      <c r="C133" s="93"/>
      <c r="D133" s="8"/>
      <c r="G133" s="50"/>
      <c r="H133" s="8"/>
    </row>
    <row r="134" spans="1:9" s="51" customFormat="1" ht="11.25">
      <c r="A134" s="8"/>
      <c r="B134" s="93"/>
      <c r="C134" s="94"/>
      <c r="D134" s="8"/>
      <c r="G134" s="50"/>
      <c r="H134" s="8"/>
      <c r="I134" s="8"/>
    </row>
    <row r="137" ht="11.25">
      <c r="I137" s="51"/>
    </row>
    <row r="138" spans="1:8" s="51" customFormat="1" ht="11.25">
      <c r="A138" s="8"/>
      <c r="B138" s="55"/>
      <c r="C138" s="55"/>
      <c r="D138" s="8"/>
      <c r="G138" s="50"/>
      <c r="H138" s="8"/>
    </row>
    <row r="139" spans="1:8" s="51" customFormat="1" ht="11.25">
      <c r="A139" s="8"/>
      <c r="B139" s="55"/>
      <c r="C139" s="55"/>
      <c r="D139" s="8"/>
      <c r="G139" s="50"/>
      <c r="H139" s="8"/>
    </row>
    <row r="140" spans="1:8" s="51" customFormat="1" ht="11.25">
      <c r="A140" s="8"/>
      <c r="B140" s="55"/>
      <c r="C140" s="55"/>
      <c r="D140" s="8"/>
      <c r="G140" s="50"/>
      <c r="H140" s="8"/>
    </row>
    <row r="141" spans="1:8" s="51" customFormat="1" ht="11.25">
      <c r="A141" s="55"/>
      <c r="B141" s="56"/>
      <c r="C141" s="55"/>
      <c r="D141" s="55"/>
      <c r="G141" s="50"/>
      <c r="H141" s="8"/>
    </row>
    <row r="142" spans="1:8" s="51" customFormat="1" ht="11.25">
      <c r="A142" s="55"/>
      <c r="B142" s="56"/>
      <c r="C142" s="55"/>
      <c r="D142" s="55"/>
      <c r="G142" s="50"/>
      <c r="H142" s="8"/>
    </row>
    <row r="143" spans="1:8" s="51" customFormat="1" ht="11.25">
      <c r="A143" s="55"/>
      <c r="B143" s="55"/>
      <c r="C143" s="55"/>
      <c r="D143" s="55"/>
      <c r="G143" s="50"/>
      <c r="H143" s="8"/>
    </row>
    <row r="144" spans="1:8" s="51" customFormat="1" ht="11.25">
      <c r="A144" s="56"/>
      <c r="B144" s="8"/>
      <c r="C144" s="8"/>
      <c r="D144" s="55"/>
      <c r="G144" s="50"/>
      <c r="H144" s="8"/>
    </row>
    <row r="145" spans="1:8" s="51" customFormat="1" ht="11.25">
      <c r="A145" s="56"/>
      <c r="B145" s="8"/>
      <c r="C145" s="8"/>
      <c r="D145" s="55"/>
      <c r="G145" s="50"/>
      <c r="H145" s="8"/>
    </row>
    <row r="146" spans="1:9" s="51" customFormat="1" ht="11.25">
      <c r="A146" s="55"/>
      <c r="B146" s="8"/>
      <c r="C146" s="8"/>
      <c r="D146" s="55"/>
      <c r="G146" s="50"/>
      <c r="H146" s="8"/>
      <c r="I146" s="8"/>
    </row>
  </sheetData>
  <mergeCells count="45">
    <mergeCell ref="C9:D9"/>
    <mergeCell ref="C10:D10"/>
    <mergeCell ref="C11:D11"/>
    <mergeCell ref="C12:D12"/>
    <mergeCell ref="A1:D1"/>
    <mergeCell ref="C4:D4"/>
    <mergeCell ref="C5:D5"/>
    <mergeCell ref="C6:D6"/>
    <mergeCell ref="C7:D7"/>
    <mergeCell ref="C8:D8"/>
    <mergeCell ref="C21:D21"/>
    <mergeCell ref="C22:D22"/>
    <mergeCell ref="C23:D23"/>
    <mergeCell ref="C24:D24"/>
    <mergeCell ref="C25:D25"/>
    <mergeCell ref="C13:D13"/>
    <mergeCell ref="C17:D17"/>
    <mergeCell ref="C18:D18"/>
    <mergeCell ref="C19:D19"/>
    <mergeCell ref="C20:D20"/>
    <mergeCell ref="A27:B27"/>
    <mergeCell ref="C30:D30"/>
    <mergeCell ref="C31:D31"/>
    <mergeCell ref="C32:D32"/>
    <mergeCell ref="C33:D33"/>
    <mergeCell ref="C29:D29"/>
    <mergeCell ref="A34:B34"/>
    <mergeCell ref="C34:D34"/>
    <mergeCell ref="B120:C120"/>
    <mergeCell ref="A49:B49"/>
    <mergeCell ref="A56:B56"/>
    <mergeCell ref="A58:B58"/>
    <mergeCell ref="A66:B66"/>
    <mergeCell ref="A77:B77"/>
    <mergeCell ref="A87:B87"/>
    <mergeCell ref="A89:B89"/>
    <mergeCell ref="A100:B100"/>
    <mergeCell ref="A102:C102"/>
    <mergeCell ref="A115:C115"/>
    <mergeCell ref="B119:C119"/>
    <mergeCell ref="B121:C121"/>
    <mergeCell ref="B122:C122"/>
    <mergeCell ref="B124:C124"/>
    <mergeCell ref="B125:C125"/>
    <mergeCell ref="A126:C12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6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3">
      <selection activeCell="F17" sqref="F17"/>
    </sheetView>
  </sheetViews>
  <sheetFormatPr defaultColWidth="9.140625" defaultRowHeight="15"/>
  <cols>
    <col min="1" max="1" width="3.00390625" style="8" customWidth="1"/>
    <col min="2" max="7" width="15.7109375" style="8" customWidth="1"/>
    <col min="8" max="16384" width="9.140625" style="8" customWidth="1"/>
  </cols>
  <sheetData>
    <row r="1" ht="23.25" customHeight="1" thickBot="1"/>
    <row r="2" spans="1:7" ht="23.25" customHeight="1" thickBot="1">
      <c r="A2" s="112" t="s">
        <v>200</v>
      </c>
      <c r="B2" s="113"/>
      <c r="C2" s="113"/>
      <c r="D2" s="113"/>
      <c r="E2" s="113"/>
      <c r="F2" s="113"/>
      <c r="G2" s="114"/>
    </row>
    <row r="3" ht="23.25" customHeight="1"/>
    <row r="4" spans="1:7" ht="40.5" customHeight="1">
      <c r="A4" s="135" t="s">
        <v>186</v>
      </c>
      <c r="B4" s="135"/>
      <c r="C4" s="21" t="s">
        <v>187</v>
      </c>
      <c r="D4" s="21" t="s">
        <v>188</v>
      </c>
      <c r="E4" s="21" t="s">
        <v>189</v>
      </c>
      <c r="F4" s="21" t="s">
        <v>190</v>
      </c>
      <c r="G4" s="21" t="s">
        <v>191</v>
      </c>
    </row>
    <row r="5" spans="1:7" ht="23.25" customHeight="1">
      <c r="A5" s="36" t="s">
        <v>192</v>
      </c>
      <c r="B5" s="46" t="s">
        <v>240</v>
      </c>
      <c r="C5" s="47">
        <f>ROUND('M.O. Comum'!D126,2)</f>
        <v>4603.93</v>
      </c>
      <c r="D5" s="31">
        <v>1</v>
      </c>
      <c r="E5" s="47">
        <f>C5*D5</f>
        <v>4603.93</v>
      </c>
      <c r="F5" s="31">
        <v>40</v>
      </c>
      <c r="G5" s="47">
        <f>E5*F5</f>
        <v>184157.2</v>
      </c>
    </row>
    <row r="6" spans="4:7" ht="23.25" customHeight="1">
      <c r="D6" s="177" t="s">
        <v>193</v>
      </c>
      <c r="E6" s="177"/>
      <c r="F6" s="177"/>
      <c r="G6" s="48">
        <f>G5</f>
        <v>184157.2</v>
      </c>
    </row>
    <row r="7" ht="23.25" customHeight="1"/>
    <row r="8" ht="23.25" customHeight="1"/>
    <row r="9" ht="23.25" customHeight="1" thickBot="1"/>
    <row r="10" spans="1:7" ht="23.25" customHeight="1" thickBot="1">
      <c r="A10" s="112" t="s">
        <v>194</v>
      </c>
      <c r="B10" s="113"/>
      <c r="C10" s="113"/>
      <c r="D10" s="113"/>
      <c r="E10" s="113"/>
      <c r="F10" s="113"/>
      <c r="G10" s="114"/>
    </row>
    <row r="11" ht="23.25" customHeight="1"/>
    <row r="12" spans="1:7" ht="23.25" customHeight="1">
      <c r="A12" s="178" t="s">
        <v>195</v>
      </c>
      <c r="B12" s="178"/>
      <c r="C12" s="178"/>
      <c r="D12" s="178"/>
      <c r="E12" s="178"/>
      <c r="F12" s="178"/>
      <c r="G12" s="178"/>
    </row>
    <row r="13" spans="1:7" ht="23.25" customHeight="1">
      <c r="A13" s="174" t="s">
        <v>196</v>
      </c>
      <c r="B13" s="175"/>
      <c r="C13" s="175"/>
      <c r="D13" s="175"/>
      <c r="E13" s="175"/>
      <c r="F13" s="176"/>
      <c r="G13" s="49" t="s">
        <v>197</v>
      </c>
    </row>
    <row r="14" spans="1:7" ht="23.25" customHeight="1">
      <c r="A14" s="19" t="s">
        <v>172</v>
      </c>
      <c r="B14" s="136" t="s">
        <v>198</v>
      </c>
      <c r="C14" s="136"/>
      <c r="D14" s="136"/>
      <c r="E14" s="136"/>
      <c r="F14" s="136"/>
      <c r="G14" s="47">
        <f>E5</f>
        <v>4603.93</v>
      </c>
    </row>
    <row r="15" spans="1:7" ht="23.25" customHeight="1">
      <c r="A15" s="19" t="s">
        <v>175</v>
      </c>
      <c r="B15" s="136" t="s">
        <v>199</v>
      </c>
      <c r="C15" s="136"/>
      <c r="D15" s="136"/>
      <c r="E15" s="136"/>
      <c r="F15" s="136"/>
      <c r="G15" s="47">
        <f>G14*F5</f>
        <v>184157.2</v>
      </c>
    </row>
    <row r="16" spans="1:7" ht="23.25" customHeight="1">
      <c r="A16" s="19" t="s">
        <v>177</v>
      </c>
      <c r="B16" s="173" t="s">
        <v>243</v>
      </c>
      <c r="C16" s="136"/>
      <c r="D16" s="136"/>
      <c r="E16" s="136"/>
      <c r="F16" s="136"/>
      <c r="G16" s="47">
        <f>G15*9</f>
        <v>1657414.8</v>
      </c>
    </row>
    <row r="17" ht="23.25" customHeight="1"/>
    <row r="18" ht="23.25" customHeight="1"/>
    <row r="19" ht="23.25" customHeight="1"/>
  </sheetData>
  <sheetProtection/>
  <mergeCells count="9">
    <mergeCell ref="B14:F14"/>
    <mergeCell ref="B15:F15"/>
    <mergeCell ref="B16:F16"/>
    <mergeCell ref="A13:F13"/>
    <mergeCell ref="A2:G2"/>
    <mergeCell ref="A4:B4"/>
    <mergeCell ref="D6:F6"/>
    <mergeCell ref="A10:G10"/>
    <mergeCell ref="A12:G12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7109375" style="37" customWidth="1"/>
    <col min="2" max="2" width="25.7109375" style="37" customWidth="1"/>
    <col min="3" max="3" width="14.140625" style="37" customWidth="1"/>
    <col min="4" max="4" width="15.421875" style="37" customWidth="1"/>
    <col min="5" max="5" width="11.57421875" style="37" customWidth="1"/>
    <col min="6" max="8" width="15.7109375" style="37" customWidth="1"/>
    <col min="9" max="16384" width="9.140625" style="37" customWidth="1"/>
  </cols>
  <sheetData>
    <row r="1" ht="12" thickBot="1"/>
    <row r="2" spans="1:8" ht="21" customHeight="1" thickBot="1">
      <c r="A2" s="181" t="s">
        <v>207</v>
      </c>
      <c r="B2" s="182"/>
      <c r="C2" s="182"/>
      <c r="D2" s="182"/>
      <c r="E2" s="182"/>
      <c r="F2" s="182"/>
      <c r="G2" s="182"/>
      <c r="H2" s="183"/>
    </row>
    <row r="4" spans="1:3" s="1" customFormat="1" ht="18" customHeight="1">
      <c r="A4" s="6"/>
      <c r="B4" s="5" t="s">
        <v>208</v>
      </c>
      <c r="C4" s="7">
        <v>0.006644</v>
      </c>
    </row>
    <row r="6" spans="1:8" s="39" customFormat="1" ht="36.75" customHeight="1">
      <c r="A6" s="179" t="s">
        <v>201</v>
      </c>
      <c r="B6" s="180"/>
      <c r="C6" s="38" t="s">
        <v>204</v>
      </c>
      <c r="D6" s="38" t="s">
        <v>202</v>
      </c>
      <c r="E6" s="38" t="s">
        <v>209</v>
      </c>
      <c r="F6" s="38" t="s">
        <v>205</v>
      </c>
      <c r="G6" s="38" t="s">
        <v>206</v>
      </c>
      <c r="H6" s="38" t="s">
        <v>203</v>
      </c>
    </row>
    <row r="7" spans="1:8" ht="22.5" customHeight="1">
      <c r="A7" s="36">
        <v>1</v>
      </c>
      <c r="B7" s="30" t="s">
        <v>244</v>
      </c>
      <c r="C7" s="40">
        <v>178.41</v>
      </c>
      <c r="D7" s="41">
        <v>9</v>
      </c>
      <c r="E7" s="41">
        <v>1</v>
      </c>
      <c r="F7" s="42">
        <f>C7/D7*E7</f>
        <v>19.823333333333334</v>
      </c>
      <c r="G7" s="42">
        <f>C7*$C$4*E7</f>
        <v>1.1853560399999998</v>
      </c>
      <c r="H7" s="42">
        <f>F7+G7</f>
        <v>21.008689373333333</v>
      </c>
    </row>
    <row r="8" spans="1:8" ht="22.5" customHeight="1">
      <c r="A8" s="22"/>
      <c r="B8" s="43"/>
      <c r="C8" s="44"/>
      <c r="D8" s="44"/>
      <c r="E8" s="44"/>
      <c r="F8" s="179" t="s">
        <v>210</v>
      </c>
      <c r="G8" s="180"/>
      <c r="H8" s="45">
        <f>SUM(H7:H7)</f>
        <v>21.008689373333333</v>
      </c>
    </row>
  </sheetData>
  <sheetProtection/>
  <mergeCells count="3">
    <mergeCell ref="A6:B6"/>
    <mergeCell ref="F8:G8"/>
    <mergeCell ref="A2:H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Helena Lopes de Nova</dc:creator>
  <cp:keywords/>
  <dc:description/>
  <cp:lastModifiedBy>Pedro Menkes</cp:lastModifiedBy>
  <cp:lastPrinted>2018-04-19T19:47:17Z</cp:lastPrinted>
  <dcterms:created xsi:type="dcterms:W3CDTF">2013-10-29T18:52:46Z</dcterms:created>
  <dcterms:modified xsi:type="dcterms:W3CDTF">2018-05-09T18:42:47Z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